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Анализ" state="visible" r:id="rId4"/>
    <sheet sheetId="2" name="План" state="visible" r:id="rId5"/>
    <sheet sheetId="3" name="Факт" state="visible" r:id="rId6"/>
    <sheet sheetId="4" name="Динамика" state="visible" r:id="rId7"/>
  </sheets>
  <calcPr calcId="171027" fullCalcOnLoad="1"/>
</workbook>
</file>

<file path=xl/sharedStrings.xml><?xml version="1.0" encoding="utf-8"?>
<sst xmlns="http://schemas.openxmlformats.org/spreadsheetml/2006/main" count="98" uniqueCount="60">
  <si>
    <t>Исполнение бюджета</t>
  </si>
  <si>
    <t>Жёлтые ячейки — ваши данные, остальное считают формулы.</t>
  </si>
  <si>
    <t>Отчётный месяц (1–12)</t>
  </si>
  <si>
    <t>Допустимое отклонение</t>
  </si>
  <si>
    <t>Статья</t>
  </si>
  <si>
    <t>План, месяц</t>
  </si>
  <si>
    <t>Факт, месяц</t>
  </si>
  <si>
    <t>Отклонение</t>
  </si>
  <si>
    <t>%</t>
  </si>
  <si>
    <t>План с начала года</t>
  </si>
  <si>
    <t>Факт с начала года</t>
  </si>
  <si>
    <t>Исполнение</t>
  </si>
  <si>
    <t>Прогноз на год</t>
  </si>
  <si>
    <t>Статус</t>
  </si>
  <si>
    <t>Доходы</t>
  </si>
  <si>
    <t>Итого доходы</t>
  </si>
  <si>
    <t>Расходы</t>
  </si>
  <si>
    <t>Итого расходы</t>
  </si>
  <si>
    <t>Результат (доходы − расходы)</t>
  </si>
  <si>
    <t>План на год</t>
  </si>
  <si>
    <t>Статьи и плановые суммы по месяцам. Названия статей задаются здесь — «Факт» и «Анализ» берут их отсюда.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</si>
  <si>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</si>
  <si>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</si>
  <si>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</si>
  <si>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</si>
  <si>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</si>
  <si>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</si>
  <si>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</si>
  <si>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</si>
  <si>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</si>
  <si>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</si>
  <si>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</si>
  <si>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</si>
  <si>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 за год</t>
  </si>
  <si>
    <t>Выручка от услуг</t>
  </si>
  <si>
    <t>Выручка от товаров</t>
  </si>
  <si>
    <t>Прочие доходы</t>
  </si>
  <si>
    <t>Зарплата и взносы</t>
  </si>
  <si>
    <t>Закупки</t>
  </si>
  <si>
    <t>Аренда</t>
  </si>
  <si>
    <t>Реклама</t>
  </si>
  <si>
    <t>Налоги</t>
  </si>
  <si>
    <t>Связь и сервисы</t>
  </si>
  <si>
    <t>Транспорт</t>
  </si>
  <si>
    <t>Банк и эквайринг</t>
  </si>
  <si>
    <t>Прочие расходы</t>
  </si>
  <si>
    <t>Факт по месяцам</t>
  </si>
  <si>
    <t>Заполняется по мере закрытия месяцев. Будущие месяцы оставьте пустыми.</t>
  </si>
  <si>
    <t>Динамика по месяцам</t>
  </si>
  <si>
    <t>План и факт рядом. Месяцы без факта остаются пустыми.</t>
  </si>
  <si>
    <t>Месяц</t>
  </si>
  <si>
    <t>Доходы, план</t>
  </si>
  <si>
    <t>Доходы, факт</t>
  </si>
  <si>
    <t>Расходы, план</t>
  </si>
  <si>
    <t>Расходы, факт</t>
  </si>
  <si>
    <t>Результат, план</t>
  </si>
  <si>
    <t>Результат, факт</t>
  </si>
  <si>
    <t>Факт нарастающим итогом</t>
  </si>
  <si>
    <t>Расходы к плану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</si>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</sst>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8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FFFFFF"/>
      <sz val="10"/>
      <name val="Calibri"/>
    </font>
    <font>
      <b/>
      <color rgb="FF2E2A24"/>
      <sz val="11"/>
      <name val="Calibri"/>
    </font>
    <font>
      <b/>
      <color rgb="FF2E2A24"/>
      <sz val="10"/>
      <name val="Calibri"/>
    </font>
    <font>
      <i/>
      <color rgb="FF7A7266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4A4238"/>
      </patternFill>
    </fill>
    <fill>
      <patternFill patternType="solid">
        <fgColor rgb="FFF0ECE3"/>
      </patternFill>
    </fill>
  </fills>
  <borders count="4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/>
      <bottom style="thin">
        <color rgb="FFD8D2C4"/>
      </bottom>
      <diagonal/>
    </border>
    <border>
      <left/>
      <right/>
      <top style="thin">
        <color rgb="FF7A7266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10" fontId="3" fillId="2" borderId="1" xfId="0" applyNumberFormat="1" applyFont="1" applyFill="1" applyBorder="1"/>
    <xf numFmtId="0" fontId="4" fillId="3" borderId="0" xfId="0" applyFont="1" applyFill="1" applyAlignment="1">
      <alignment horizontal="center" vertical="center" wrapText="1"/>
    </xf>
    <xf numFmtId="0" fontId="5" fillId="0" borderId="2" xfId="0" applyFont="1" applyBorder="1"/>
    <xf numFmtId="164" fontId="3" fillId="0" borderId="0" xfId="0" applyNumberFormat="1" applyFont="1"/>
    <xf numFmtId="10" fontId="3" fillId="0" borderId="0" xfId="0" applyNumberFormat="1" applyFont="1"/>
    <xf numFmtId="0" fontId="6" fillId="4" borderId="3" xfId="0" applyFont="1" applyFill="1" applyBorder="1"/>
    <xf numFmtId="164" fontId="6" fillId="4" borderId="3" xfId="0" applyNumberFormat="1" applyFont="1" applyFill="1" applyBorder="1"/>
    <xf numFmtId="10" fontId="6" fillId="4" borderId="3" xfId="0" applyNumberFormat="1" applyFont="1" applyFill="1" applyBorder="1"/>
    <xf numFmtId="0" fontId="7" fillId="0" borderId="0" xfId="0" applyFont="1"/>
    <xf numFmtId="164" fontId="3" fillId="2" borderId="1" xfId="0" applyNumberFormat="1" applyFont="1" applyFill="1" applyBorder="1"/>
  </cellXfs>
  <cellStyles count="1">
    <cellStyle name="Normal" xfId="0" builtinId="0"/>
  </cellStyles>
  <dxfs count="3">
    <dxf>
      <font>
        <color rgb="FF9A2A1B"/>
      </font>
      <fill>
        <patternFill patternType="solid">
          <bgColor rgb="FFF8D7D2"/>
        </patternFill>
      </fill>
    </dxf>
    <dxf>
      <font>
        <color rgb="FF2F6B2A"/>
      </font>
      <fill>
        <patternFill patternType="solid">
          <bgColor rgb="FFDDEFD9"/>
        </patternFill>
      </fill>
    </dxf>
    <dxf>
      <font>
        <color rgb="FF9A2A1B"/>
      </font>
      <fill>
        <patternFill patternType="solid">
          <bgColor rgb="FFF8D7D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4" width="16" customWidth="1"/>
    <col min="5" max="5" width="11" customWidth="1"/>
    <col min="6" max="7" width="18" customWidth="1"/>
    <col min="8" max="8" width="16" customWidth="1"/>
    <col min="9" max="9" width="13" customWidth="1"/>
    <col min="10" max="10" width="18" customWidth="1"/>
    <col min="11" max="11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3" x14ac:dyDescent="0.25">
      <c r="A4" s="3" t="s">
        <v>2</v>
      </c>
      <c r="C4" s="4">
        <v>9</v>
      </c>
    </row>
    <row r="5" spans="1:3" x14ac:dyDescent="0.25">
      <c r="A5" s="3" t="s">
        <v>3</v>
      </c>
      <c r="C5" s="5">
        <v>0.05</v>
      </c>
    </row>
    <row r="7" spans="1:11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7</v>
      </c>
      <c r="I7" s="6" t="s">
        <v>11</v>
      </c>
      <c r="J7" s="6" t="s">
        <v>12</v>
      </c>
      <c r="K7" s="6" t="s">
        <v>13</v>
      </c>
    </row>
    <row r="8" spans="1:1" x14ac:dyDescent="0.25">
      <c r="A8" s="7" t="s">
        <v>14</v>
      </c>
    </row>
    <row r="9" spans="1:11" x14ac:dyDescent="0.25">
      <c r="A9" s="3" t="str">
        <f>IF('План'!$A6="","",'План'!$A6)</f>
        <v>Выручка от услуг</v>
      </c>
      <c r="B9" s="8">
        <f>IF($A9="","",INDEX('План'!$B6:$M6,1,$C$4))</f>
        <v>620000</v>
      </c>
      <c r="C9" s="8">
        <f>IF($A9="","",INDEX('Факт'!$B6:$M6,1,$C$4))</f>
        <v>668400</v>
      </c>
      <c r="D9" s="8">
        <f>IF($A9="","",C9-B9)</f>
        <v>48400</v>
      </c>
      <c r="E9" s="9">
        <f>IF($A9="","",IF(B9=0,0,D9/B9))</f>
        <v>0.078064516129</v>
      </c>
      <c r="F9" s="8">
        <f>IF($A9="","",SUMIF('План'!$B$4:$M$4,"&lt;="&amp;$C$4,'План'!$B6:$M6))</f>
        <v>5580000</v>
      </c>
      <c r="G9" s="8">
        <f>IF($A9="","",SUMIF('Факт'!$B$4:$M$4,"&lt;="&amp;$C$4,'Факт'!$B6:$M6))</f>
        <v>5564200</v>
      </c>
      <c r="H9" s="8">
        <f>IF($A9="","",G9-F9)</f>
        <v>-15800</v>
      </c>
      <c r="I9" s="9">
        <f>IF($A9="","",IF(F9=0,0,G9/F9))</f>
        <v>0.99716845878</v>
      </c>
      <c r="J9" s="8">
        <f>IF($A9="","",G9+SUMIF('План'!$B$4:$M$4,"&gt;"&amp;$C$4,'План'!$B6:$M6))</f>
        <v>7424200</v>
      </c>
      <c r="K9" s="3" t="str">
        <f>IF($A9="","",IF(G9&lt;F9*(1-$C$5),"Недобор",IF(G9&gt;F9*(1+$C$5),"Выше плана","В норме")))</f>
        <v>В норме</v>
      </c>
    </row>
    <row r="10" spans="1:11" x14ac:dyDescent="0.25">
      <c r="A10" s="3" t="str">
        <f>IF('План'!$A7="","",'План'!$A7)</f>
        <v>Выручка от товаров</v>
      </c>
      <c r="B10" s="8">
        <f>IF($A10="","",INDEX('План'!$B7:$M7,1,$C$4))</f>
        <v>240000</v>
      </c>
      <c r="C10" s="8">
        <f>IF($A10="","",INDEX('Факт'!$B7:$M7,1,$C$4))</f>
        <v>262000</v>
      </c>
      <c r="D10" s="8">
        <f>IF($A10="","",C10-B10)</f>
        <v>22000</v>
      </c>
      <c r="E10" s="9">
        <f>IF($A10="","",IF(B10=0,0,D10/B10))</f>
        <v>0.091666666667</v>
      </c>
      <c r="F10" s="8">
        <f>IF($A10="","",SUMIF('План'!$B$4:$M$4,"&lt;="&amp;$C$4,'План'!$B7:$M7))</f>
        <v>2160000</v>
      </c>
      <c r="G10" s="8">
        <f>IF($A10="","",SUMIF('Факт'!$B$4:$M$4,"&lt;="&amp;$C$4,'Факт'!$B7:$M7))</f>
        <v>2096000</v>
      </c>
      <c r="H10" s="8">
        <f>IF($A10="","",G10-F10)</f>
        <v>-64000</v>
      </c>
      <c r="I10" s="9">
        <f>IF($A10="","",IF(F10=0,0,G10/F10))</f>
        <v>0.97037037037</v>
      </c>
      <c r="J10" s="8">
        <f>IF($A10="","",G10+SUMIF('План'!$B$4:$M$4,"&gt;"&amp;$C$4,'План'!$B7:$M7))</f>
        <v>2816000</v>
      </c>
      <c r="K10" s="3" t="str">
        <f>IF($A10="","",IF(G10&lt;F10*(1-$C$5),"Недобор",IF(G10&gt;F10*(1+$C$5),"Выше плана","В норме")))</f>
        <v>В норме</v>
      </c>
    </row>
    <row r="11" spans="1:11" x14ac:dyDescent="0.25">
      <c r="A11" s="3" t="str">
        <f>IF('План'!$A8="","",'План'!$A8)</f>
        <v>Прочие доходы</v>
      </c>
      <c r="B11" s="8">
        <f>IF($A11="","",INDEX('План'!$B8:$M8,1,$C$4))</f>
        <v>15000</v>
      </c>
      <c r="C11" s="8">
        <f>IF($A11="","",INDEX('Факт'!$B8:$M8,1,$C$4))</f>
        <v>19400</v>
      </c>
      <c r="D11" s="8">
        <f>IF($A11="","",C11-B11)</f>
        <v>4400</v>
      </c>
      <c r="E11" s="9">
        <f>IF($A11="","",IF(B11=0,0,D11/B11))</f>
        <v>0.29333333333</v>
      </c>
      <c r="F11" s="8">
        <f>IF($A11="","",SUMIF('План'!$B$4:$M$4,"&lt;="&amp;$C$4,'План'!$B8:$M8))</f>
        <v>135000</v>
      </c>
      <c r="G11" s="8">
        <f>IF($A11="","",SUMIF('Факт'!$B$4:$M$4,"&lt;="&amp;$C$4,'Факт'!$B8:$M8))</f>
        <v>127700</v>
      </c>
      <c r="H11" s="8">
        <f>IF($A11="","",G11-F11)</f>
        <v>-7300</v>
      </c>
      <c r="I11" s="9">
        <f>IF($A11="","",IF(F11=0,0,G11/F11))</f>
        <v>0.94592592593</v>
      </c>
      <c r="J11" s="8">
        <f>IF($A11="","",G11+SUMIF('План'!$B$4:$M$4,"&gt;"&amp;$C$4,'План'!$B8:$M8))</f>
        <v>172700</v>
      </c>
      <c r="K11" s="3" t="str">
        <f>IF($A11="","",IF(G11&lt;F11*(1-$C$5),"Недобор",IF(G11&gt;F11*(1+$C$5),"Выше плана","В норме")))</f>
        <v>Недобор</v>
      </c>
    </row>
    <row r="12" spans="1:11" x14ac:dyDescent="0.25">
      <c r="A12" s="3" t="str">
        <f>IF('План'!$A9="","",'План'!$A9)</f>
        <v/>
      </c>
      <c r="B12" s="8" t="str">
        <f>IF($A12="","",INDEX('План'!$B9:$M9,1,$C$4))</f>
        <v/>
      </c>
      <c r="C12" s="8" t="str">
        <f>IF($A12="","",INDEX('Факт'!$B9:$M9,1,$C$4))</f>
        <v/>
      </c>
      <c r="D12" s="8" t="str">
        <f>IF($A12="","",C12-B12)</f>
        <v/>
      </c>
      <c r="E12" s="9" t="str">
        <f>IF($A12="","",IF(B12=0,0,D12/B12))</f>
        <v/>
      </c>
      <c r="F12" s="8" t="str">
        <f>IF($A12="","",SUMIF('План'!$B$4:$M$4,"&lt;="&amp;$C$4,'План'!$B9:$M9))</f>
        <v/>
      </c>
      <c r="G12" s="8" t="str">
        <f>IF($A12="","",SUMIF('Факт'!$B$4:$M$4,"&lt;="&amp;$C$4,'Факт'!$B9:$M9))</f>
        <v/>
      </c>
      <c r="H12" s="8" t="str">
        <f>IF($A12="","",G12-F12)</f>
        <v/>
      </c>
      <c r="I12" s="9" t="str">
        <f>IF($A12="","",IF(F12=0,0,G12/F12))</f>
        <v/>
      </c>
      <c r="J12" s="8" t="str">
        <f>IF($A12="","",G12+SUMIF('План'!$B$4:$M$4,"&gt;"&amp;$C$4,'План'!$B9:$M9))</f>
        <v/>
      </c>
      <c r="K12" s="3" t="str">
        <f>IF($A12="","",IF(G12&lt;F12*(1-$C$5),"Недобор",IF(G12&gt;F12*(1+$C$5),"Выше плана","В норме")))</f>
        <v/>
      </c>
    </row>
    <row r="13" spans="1:11" x14ac:dyDescent="0.25">
      <c r="A13" s="3" t="str">
        <f>IF('План'!$A10="","",'План'!$A10)</f>
        <v/>
      </c>
      <c r="B13" s="8" t="str">
        <f>IF($A13="","",INDEX('План'!$B10:$M10,1,$C$4))</f>
        <v/>
      </c>
      <c r="C13" s="8" t="str">
        <f>IF($A13="","",INDEX('Факт'!$B10:$M10,1,$C$4))</f>
        <v/>
      </c>
      <c r="D13" s="8" t="str">
        <f>IF($A13="","",C13-B13)</f>
        <v/>
      </c>
      <c r="E13" s="9" t="str">
        <f>IF($A13="","",IF(B13=0,0,D13/B13))</f>
        <v/>
      </c>
      <c r="F13" s="8" t="str">
        <f>IF($A13="","",SUMIF('План'!$B$4:$M$4,"&lt;="&amp;$C$4,'План'!$B10:$M10))</f>
        <v/>
      </c>
      <c r="G13" s="8" t="str">
        <f>IF($A13="","",SUMIF('Факт'!$B$4:$M$4,"&lt;="&amp;$C$4,'Факт'!$B10:$M10))</f>
        <v/>
      </c>
      <c r="H13" s="8" t="str">
        <f>IF($A13="","",G13-F13)</f>
        <v/>
      </c>
      <c r="I13" s="9" t="str">
        <f>IF($A13="","",IF(F13=0,0,G13/F13))</f>
        <v/>
      </c>
      <c r="J13" s="8" t="str">
        <f>IF($A13="","",G13+SUMIF('План'!$B$4:$M$4,"&gt;"&amp;$C$4,'План'!$B10:$M10))</f>
        <v/>
      </c>
      <c r="K13" s="3" t="str">
        <f>IF($A13="","",IF(G13&lt;F13*(1-$C$5),"Недобор",IF(G13&gt;F13*(1+$C$5),"Выше плана","В норме")))</f>
        <v/>
      </c>
    </row>
    <row r="14" spans="1:11" x14ac:dyDescent="0.25">
      <c r="A14" s="10" t="s">
        <v>15</v>
      </c>
      <c r="B14" s="11">
        <f>INDEX('План'!$B11:$M11,1,$C$4)</f>
        <v>875000</v>
      </c>
      <c r="C14" s="11">
        <f>INDEX('Факт'!$B11:$M11,1,$C$4)</f>
        <v>949800</v>
      </c>
      <c r="D14" s="11">
        <f>C14-B14</f>
        <v>74800</v>
      </c>
      <c r="E14" s="12">
        <f>IF(B14=0,0,D14/B14)</f>
        <v>0.085485714286</v>
      </c>
      <c r="F14" s="11">
        <f>SUMIF('План'!$B$4:$M$4,"&lt;="&amp;$C$4,'План'!$B11:$M11)</f>
        <v>7875000</v>
      </c>
      <c r="G14" s="11">
        <f>SUMIF('Факт'!$B$4:$M$4,"&lt;="&amp;$C$4,'Факт'!$B11:$M11)</f>
        <v>7787900</v>
      </c>
      <c r="H14" s="11">
        <f>G14-F14</f>
        <v>-87100</v>
      </c>
      <c r="I14" s="12">
        <f>IF(F14=0,0,G14/F14)</f>
        <v>0.98893968254</v>
      </c>
      <c r="J14" s="11">
        <f>G14+SUMIF('План'!$B$4:$M$4,"&gt;"&amp;$C$4,'План'!$B11:$M11)</f>
        <v>10412900</v>
      </c>
      <c r="K14" s="10" t="str">
        <f>IF(G14&lt;F14*(1-$C$5),"Недобор",IF(G14&gt;F14*(1+$C$5),"Выше плана","В норме"))</f>
        <v>В норме</v>
      </c>
    </row>
    <row r="15" spans="1:1" x14ac:dyDescent="0.25">
      <c r="A15" s="7" t="s">
        <v>16</v>
      </c>
    </row>
    <row r="16" spans="1:11" x14ac:dyDescent="0.25">
      <c r="A16" s="3" t="str">
        <f>IF('План'!$A13="","",'План'!$A13)</f>
        <v>Зарплата и взносы</v>
      </c>
      <c r="B16" s="8">
        <f>IF($A16="","",INDEX('План'!$B13:$M13,1,$C$4))</f>
        <v>410000</v>
      </c>
      <c r="C16" s="8">
        <f>IF($A16="","",INDEX('Факт'!$B13:$M13,1,$C$4))</f>
        <v>410000</v>
      </c>
      <c r="D16" s="8">
        <f>IF($A16="","",C16-B16)</f>
        <v>0</v>
      </c>
      <c r="E16" s="9">
        <f>IF($A16="","",IF(B16=0,0,D16/B16))</f>
        <v>0</v>
      </c>
      <c r="F16" s="8">
        <f>IF($A16="","",SUMIF('План'!$B$4:$M$4,"&lt;="&amp;$C$4,'План'!$B13:$M13))</f>
        <v>3690000</v>
      </c>
      <c r="G16" s="8">
        <f>IF($A16="","",SUMIF('Факт'!$B$4:$M$4,"&lt;="&amp;$C$4,'Факт'!$B13:$M13))</f>
        <v>3735700</v>
      </c>
      <c r="H16" s="8">
        <f>IF($A16="","",G16-F16)</f>
        <v>45700</v>
      </c>
      <c r="I16" s="9">
        <f>IF($A16="","",IF(F16=0,0,G16/F16))</f>
        <v>1.0123848238</v>
      </c>
      <c r="J16" s="8">
        <f>IF($A16="","",G16+SUMIF('План'!$B$4:$M$4,"&gt;"&amp;$C$4,'План'!$B13:$M13))</f>
        <v>4965700</v>
      </c>
      <c r="K16" s="3" t="str">
        <f>IF($A16="","",IF(G16&gt;F16*(1+$C$5),"Перерасход",IF(G16&lt;F16*(1-$C$5),"Экономия","В норме")))</f>
        <v>В норме</v>
      </c>
    </row>
    <row r="17" spans="1:11" x14ac:dyDescent="0.25">
      <c r="A17" s="3" t="str">
        <f>IF('План'!$A14="","",'План'!$A14)</f>
        <v>Закупки</v>
      </c>
      <c r="B17" s="8">
        <f>IF($A17="","",INDEX('План'!$B14:$M14,1,$C$4))</f>
        <v>150000</v>
      </c>
      <c r="C17" s="8">
        <f>IF($A17="","",INDEX('Факт'!$B14:$M14,1,$C$4))</f>
        <v>176900</v>
      </c>
      <c r="D17" s="8">
        <f>IF($A17="","",C17-B17)</f>
        <v>26900</v>
      </c>
      <c r="E17" s="9">
        <f>IF($A17="","",IF(B17=0,0,D17/B17))</f>
        <v>0.17933333333</v>
      </c>
      <c r="F17" s="8">
        <f>IF($A17="","",SUMIF('План'!$B$4:$M$4,"&lt;="&amp;$C$4,'План'!$B14:$M14))</f>
        <v>1350000</v>
      </c>
      <c r="G17" s="8">
        <f>IF($A17="","",SUMIF('Факт'!$B$4:$M$4,"&lt;="&amp;$C$4,'Факт'!$B14:$M14))</f>
        <v>1386600</v>
      </c>
      <c r="H17" s="8">
        <f>IF($A17="","",G17-F17)</f>
        <v>36600</v>
      </c>
      <c r="I17" s="9">
        <f>IF($A17="","",IF(F17=0,0,G17/F17))</f>
        <v>1.0271111111</v>
      </c>
      <c r="J17" s="8">
        <f>IF($A17="","",G17+SUMIF('План'!$B$4:$M$4,"&gt;"&amp;$C$4,'План'!$B14:$M14))</f>
        <v>1836600</v>
      </c>
      <c r="K17" s="3" t="str">
        <f>IF($A17="","",IF(G17&gt;F17*(1+$C$5),"Перерасход",IF(G17&lt;F17*(1-$C$5),"Экономия","В норме")))</f>
        <v>В норме</v>
      </c>
    </row>
    <row r="18" spans="1:11" x14ac:dyDescent="0.25">
      <c r="A18" s="3" t="str">
        <f>IF('План'!$A15="","",'План'!$A15)</f>
        <v>Аренда</v>
      </c>
      <c r="B18" s="8">
        <f>IF($A18="","",INDEX('План'!$B15:$M15,1,$C$4))</f>
        <v>85000</v>
      </c>
      <c r="C18" s="8">
        <f>IF($A18="","",INDEX('Факт'!$B15:$M15,1,$C$4))</f>
        <v>85000</v>
      </c>
      <c r="D18" s="8">
        <f>IF($A18="","",C18-B18)</f>
        <v>0</v>
      </c>
      <c r="E18" s="9">
        <f>IF($A18="","",IF(B18=0,0,D18/B18))</f>
        <v>0</v>
      </c>
      <c r="F18" s="8">
        <f>IF($A18="","",SUMIF('План'!$B$4:$M$4,"&lt;="&amp;$C$4,'План'!$B15:$M15))</f>
        <v>765000</v>
      </c>
      <c r="G18" s="8">
        <f>IF($A18="","",SUMIF('Факт'!$B$4:$M$4,"&lt;="&amp;$C$4,'Факт'!$B15:$M15))</f>
        <v>765000</v>
      </c>
      <c r="H18" s="8">
        <f>IF($A18="","",G18-F18)</f>
        <v>0</v>
      </c>
      <c r="I18" s="9">
        <f>IF($A18="","",IF(F18=0,0,G18/F18))</f>
        <v>1</v>
      </c>
      <c r="J18" s="8">
        <f>IF($A18="","",G18+SUMIF('План'!$B$4:$M$4,"&gt;"&amp;$C$4,'План'!$B15:$M15))</f>
        <v>1020000</v>
      </c>
      <c r="K18" s="3" t="str">
        <f>IF($A18="","",IF(G18&gt;F18*(1+$C$5),"Перерасход",IF(G18&lt;F18*(1-$C$5),"Экономия","В норме")))</f>
        <v>В норме</v>
      </c>
    </row>
    <row r="19" spans="1:11" x14ac:dyDescent="0.25">
      <c r="A19" s="3" t="str">
        <f>IF('План'!$A16="","",'План'!$A16)</f>
        <v>Реклама</v>
      </c>
      <c r="B19" s="8">
        <f>IF($A19="","",INDEX('План'!$B16:$M16,1,$C$4))</f>
        <v>60000</v>
      </c>
      <c r="C19" s="8">
        <f>IF($A19="","",INDEX('Факт'!$B16:$M16,1,$C$4))</f>
        <v>81500</v>
      </c>
      <c r="D19" s="8">
        <f>IF($A19="","",C19-B19)</f>
        <v>21500</v>
      </c>
      <c r="E19" s="9">
        <f>IF($A19="","",IF(B19=0,0,D19/B19))</f>
        <v>0.35833333333</v>
      </c>
      <c r="F19" s="8">
        <f>IF($A19="","",SUMIF('План'!$B$4:$M$4,"&lt;="&amp;$C$4,'План'!$B16:$M16))</f>
        <v>540000</v>
      </c>
      <c r="G19" s="8">
        <f>IF($A19="","",SUMIF('Факт'!$B$4:$M$4,"&lt;="&amp;$C$4,'Факт'!$B16:$M16))</f>
        <v>583600</v>
      </c>
      <c r="H19" s="8">
        <f>IF($A19="","",G19-F19)</f>
        <v>43600</v>
      </c>
      <c r="I19" s="9">
        <f>IF($A19="","",IF(F19=0,0,G19/F19))</f>
        <v>1.0807407407</v>
      </c>
      <c r="J19" s="8">
        <f>IF($A19="","",G19+SUMIF('План'!$B$4:$M$4,"&gt;"&amp;$C$4,'План'!$B16:$M16))</f>
        <v>763600</v>
      </c>
      <c r="K19" s="3" t="str">
        <f>IF($A19="","",IF(G19&gt;F19*(1+$C$5),"Перерасход",IF(G19&lt;F19*(1-$C$5),"Экономия","В норме")))</f>
        <v>Перерасход</v>
      </c>
    </row>
    <row r="20" spans="1:11" x14ac:dyDescent="0.25">
      <c r="A20" s="3" t="str">
        <f>IF('План'!$A17="","",'План'!$A17)</f>
        <v>Налоги</v>
      </c>
      <c r="B20" s="8">
        <f>IF($A20="","",INDEX('План'!$B17:$M17,1,$C$4))</f>
        <v>52000</v>
      </c>
      <c r="C20" s="8">
        <f>IF($A20="","",INDEX('Факт'!$B17:$M17,1,$C$4))</f>
        <v>57000</v>
      </c>
      <c r="D20" s="8">
        <f>IF($A20="","",C20-B20)</f>
        <v>5000</v>
      </c>
      <c r="E20" s="9">
        <f>IF($A20="","",IF(B20=0,0,D20/B20))</f>
        <v>0.096153846154</v>
      </c>
      <c r="F20" s="8">
        <f>IF($A20="","",SUMIF('План'!$B$4:$M$4,"&lt;="&amp;$C$4,'План'!$B17:$M17))</f>
        <v>468000</v>
      </c>
      <c r="G20" s="8">
        <f>IF($A20="","",SUMIF('Факт'!$B$4:$M$4,"&lt;="&amp;$C$4,'Факт'!$B17:$M17))</f>
        <v>466500</v>
      </c>
      <c r="H20" s="8">
        <f>IF($A20="","",G20-F20)</f>
        <v>-1500</v>
      </c>
      <c r="I20" s="9">
        <f>IF($A20="","",IF(F20=0,0,G20/F20))</f>
        <v>0.99679487179</v>
      </c>
      <c r="J20" s="8">
        <f>IF($A20="","",G20+SUMIF('План'!$B$4:$M$4,"&gt;"&amp;$C$4,'План'!$B17:$M17))</f>
        <v>622500</v>
      </c>
      <c r="K20" s="3" t="str">
        <f>IF($A20="","",IF(G20&gt;F20*(1+$C$5),"Перерасход",IF(G20&lt;F20*(1-$C$5),"Экономия","В норме")))</f>
        <v>В норме</v>
      </c>
    </row>
    <row r="21" spans="1:11" x14ac:dyDescent="0.25">
      <c r="A21" s="3" t="str">
        <f>IF('План'!$A18="","",'План'!$A18)</f>
        <v>Связь и сервисы</v>
      </c>
      <c r="B21" s="8">
        <f>IF($A21="","",INDEX('План'!$B18:$M18,1,$C$4))</f>
        <v>12000</v>
      </c>
      <c r="C21" s="8">
        <f>IF($A21="","",INDEX('Факт'!$B18:$M18,1,$C$4))</f>
        <v>12100</v>
      </c>
      <c r="D21" s="8">
        <f>IF($A21="","",C21-B21)</f>
        <v>100</v>
      </c>
      <c r="E21" s="9">
        <f>IF($A21="","",IF(B21=0,0,D21/B21))</f>
        <v>0.0083333333333</v>
      </c>
      <c r="F21" s="8">
        <f>IF($A21="","",SUMIF('План'!$B$4:$M$4,"&lt;="&amp;$C$4,'План'!$B18:$M18))</f>
        <v>108000</v>
      </c>
      <c r="G21" s="8">
        <f>IF($A21="","",SUMIF('Факт'!$B$4:$M$4,"&lt;="&amp;$C$4,'Факт'!$B18:$M18))</f>
        <v>107000</v>
      </c>
      <c r="H21" s="8">
        <f>IF($A21="","",G21-F21)</f>
        <v>-1000</v>
      </c>
      <c r="I21" s="9">
        <f>IF($A21="","",IF(F21=0,0,G21/F21))</f>
        <v>0.99074074074</v>
      </c>
      <c r="J21" s="8">
        <f>IF($A21="","",G21+SUMIF('План'!$B$4:$M$4,"&gt;"&amp;$C$4,'План'!$B18:$M18))</f>
        <v>143000</v>
      </c>
      <c r="K21" s="3" t="str">
        <f>IF($A21="","",IF(G21&gt;F21*(1+$C$5),"Перерасход",IF(G21&lt;F21*(1-$C$5),"Экономия","В норме")))</f>
        <v>В норме</v>
      </c>
    </row>
    <row r="22" spans="1:11" x14ac:dyDescent="0.25">
      <c r="A22" s="3" t="str">
        <f>IF('План'!$A19="","",'План'!$A19)</f>
        <v>Транспорт</v>
      </c>
      <c r="B22" s="8">
        <f>IF($A22="","",INDEX('План'!$B19:$M19,1,$C$4))</f>
        <v>18000</v>
      </c>
      <c r="C22" s="8">
        <f>IF($A22="","",INDEX('Факт'!$B19:$M19,1,$C$4))</f>
        <v>20400</v>
      </c>
      <c r="D22" s="8">
        <f>IF($A22="","",C22-B22)</f>
        <v>2400</v>
      </c>
      <c r="E22" s="9">
        <f>IF($A22="","",IF(B22=0,0,D22/B22))</f>
        <v>0.13333333333</v>
      </c>
      <c r="F22" s="8">
        <f>IF($A22="","",SUMIF('План'!$B$4:$M$4,"&lt;="&amp;$C$4,'План'!$B19:$M19))</f>
        <v>162000</v>
      </c>
      <c r="G22" s="8">
        <f>IF($A22="","",SUMIF('Факт'!$B$4:$M$4,"&lt;="&amp;$C$4,'Факт'!$B19:$M19))</f>
        <v>160100</v>
      </c>
      <c r="H22" s="8">
        <f>IF($A22="","",G22-F22)</f>
        <v>-1900</v>
      </c>
      <c r="I22" s="9">
        <f>IF($A22="","",IF(F22=0,0,G22/F22))</f>
        <v>0.98827160494</v>
      </c>
      <c r="J22" s="8">
        <f>IF($A22="","",G22+SUMIF('План'!$B$4:$M$4,"&gt;"&amp;$C$4,'План'!$B19:$M19))</f>
        <v>214100</v>
      </c>
      <c r="K22" s="3" t="str">
        <f>IF($A22="","",IF(G22&gt;F22*(1+$C$5),"Перерасход",IF(G22&lt;F22*(1-$C$5),"Экономия","В норме")))</f>
        <v>В норме</v>
      </c>
    </row>
    <row r="23" spans="1:11" x14ac:dyDescent="0.25">
      <c r="A23" s="3" t="str">
        <f>IF('План'!$A20="","",'План'!$A20)</f>
        <v>Банк и эквайринг</v>
      </c>
      <c r="B23" s="8">
        <f>IF($A23="","",INDEX('План'!$B20:$M20,1,$C$4))</f>
        <v>14000</v>
      </c>
      <c r="C23" s="8">
        <f>IF($A23="","",INDEX('Факт'!$B20:$M20,1,$C$4))</f>
        <v>15200</v>
      </c>
      <c r="D23" s="8">
        <f>IF($A23="","",C23-B23)</f>
        <v>1200</v>
      </c>
      <c r="E23" s="9">
        <f>IF($A23="","",IF(B23=0,0,D23/B23))</f>
        <v>0.085714285714</v>
      </c>
      <c r="F23" s="8">
        <f>IF($A23="","",SUMIF('План'!$B$4:$M$4,"&lt;="&amp;$C$4,'План'!$B20:$M20))</f>
        <v>126000</v>
      </c>
      <c r="G23" s="8">
        <f>IF($A23="","",SUMIF('Факт'!$B$4:$M$4,"&lt;="&amp;$C$4,'Факт'!$B20:$M20))</f>
        <v>124800</v>
      </c>
      <c r="H23" s="8">
        <f>IF($A23="","",G23-F23)</f>
        <v>-1200</v>
      </c>
      <c r="I23" s="9">
        <f>IF($A23="","",IF(F23=0,0,G23/F23))</f>
        <v>0.99047619048</v>
      </c>
      <c r="J23" s="8">
        <f>IF($A23="","",G23+SUMIF('План'!$B$4:$M$4,"&gt;"&amp;$C$4,'План'!$B20:$M20))</f>
        <v>166800</v>
      </c>
      <c r="K23" s="3" t="str">
        <f>IF($A23="","",IF(G23&gt;F23*(1+$C$5),"Перерасход",IF(G23&lt;F23*(1-$C$5),"Экономия","В норме")))</f>
        <v>В норме</v>
      </c>
    </row>
    <row r="24" spans="1:11" x14ac:dyDescent="0.25">
      <c r="A24" s="3" t="str">
        <f>IF('План'!$A21="","",'План'!$A21)</f>
        <v>Прочие расходы</v>
      </c>
      <c r="B24" s="8">
        <f>IF($A24="","",INDEX('План'!$B21:$M21,1,$C$4))</f>
        <v>20000</v>
      </c>
      <c r="C24" s="8">
        <f>IF($A24="","",INDEX('Факт'!$B21:$M21,1,$C$4))</f>
        <v>24700</v>
      </c>
      <c r="D24" s="8">
        <f>IF($A24="","",C24-B24)</f>
        <v>4700</v>
      </c>
      <c r="E24" s="9">
        <f>IF($A24="","",IF(B24=0,0,D24/B24))</f>
        <v>0.235</v>
      </c>
      <c r="F24" s="8">
        <f>IF($A24="","",SUMIF('План'!$B$4:$M$4,"&lt;="&amp;$C$4,'План'!$B21:$M21))</f>
        <v>180000</v>
      </c>
      <c r="G24" s="8">
        <f>IF($A24="","",SUMIF('Факт'!$B$4:$M$4,"&lt;="&amp;$C$4,'Факт'!$B21:$M21))</f>
        <v>187500</v>
      </c>
      <c r="H24" s="8">
        <f>IF($A24="","",G24-F24)</f>
        <v>7500</v>
      </c>
      <c r="I24" s="9">
        <f>IF($A24="","",IF(F24=0,0,G24/F24))</f>
        <v>1.0416666667</v>
      </c>
      <c r="J24" s="8">
        <f>IF($A24="","",G24+SUMIF('План'!$B$4:$M$4,"&gt;"&amp;$C$4,'План'!$B21:$M21))</f>
        <v>247500</v>
      </c>
      <c r="K24" s="3" t="str">
        <f>IF($A24="","",IF(G24&gt;F24*(1+$C$5),"Перерасход",IF(G24&lt;F24*(1-$C$5),"Экономия","В норме")))</f>
        <v>В норме</v>
      </c>
    </row>
    <row r="25" spans="1:11" x14ac:dyDescent="0.25">
      <c r="A25" s="3" t="str">
        <f>IF('План'!$A22="","",'План'!$A22)</f>
        <v/>
      </c>
      <c r="B25" s="8" t="str">
        <f>IF($A25="","",INDEX('План'!$B22:$M22,1,$C$4))</f>
        <v/>
      </c>
      <c r="C25" s="8" t="str">
        <f>IF($A25="","",INDEX('Факт'!$B22:$M22,1,$C$4))</f>
        <v/>
      </c>
      <c r="D25" s="8" t="str">
        <f>IF($A25="","",C25-B25)</f>
        <v/>
      </c>
      <c r="E25" s="9" t="str">
        <f>IF($A25="","",IF(B25=0,0,D25/B25))</f>
        <v/>
      </c>
      <c r="F25" s="8" t="str">
        <f>IF($A25="","",SUMIF('План'!$B$4:$M$4,"&lt;="&amp;$C$4,'План'!$B22:$M22))</f>
        <v/>
      </c>
      <c r="G25" s="8" t="str">
        <f>IF($A25="","",SUMIF('Факт'!$B$4:$M$4,"&lt;="&amp;$C$4,'Факт'!$B22:$M22))</f>
        <v/>
      </c>
      <c r="H25" s="8" t="str">
        <f>IF($A25="","",G25-F25)</f>
        <v/>
      </c>
      <c r="I25" s="9" t="str">
        <f>IF($A25="","",IF(F25=0,0,G25/F25))</f>
        <v/>
      </c>
      <c r="J25" s="8" t="str">
        <f>IF($A25="","",G25+SUMIF('План'!$B$4:$M$4,"&gt;"&amp;$C$4,'План'!$B22:$M22))</f>
        <v/>
      </c>
      <c r="K25" s="3" t="str">
        <f>IF($A25="","",IF(G25&gt;F25*(1+$C$5),"Перерасход",IF(G25&lt;F25*(1-$C$5),"Экономия","В норме")))</f>
        <v/>
      </c>
    </row>
    <row r="26" spans="1:11" x14ac:dyDescent="0.25">
      <c r="A26" s="3" t="str">
        <f>IF('План'!$A23="","",'План'!$A23)</f>
        <v/>
      </c>
      <c r="B26" s="8" t="str">
        <f>IF($A26="","",INDEX('План'!$B23:$M23,1,$C$4))</f>
        <v/>
      </c>
      <c r="C26" s="8" t="str">
        <f>IF($A26="","",INDEX('Факт'!$B23:$M23,1,$C$4))</f>
        <v/>
      </c>
      <c r="D26" s="8" t="str">
        <f>IF($A26="","",C26-B26)</f>
        <v/>
      </c>
      <c r="E26" s="9" t="str">
        <f>IF($A26="","",IF(B26=0,0,D26/B26))</f>
        <v/>
      </c>
      <c r="F26" s="8" t="str">
        <f>IF($A26="","",SUMIF('План'!$B$4:$M$4,"&lt;="&amp;$C$4,'План'!$B23:$M23))</f>
        <v/>
      </c>
      <c r="G26" s="8" t="str">
        <f>IF($A26="","",SUMIF('Факт'!$B$4:$M$4,"&lt;="&amp;$C$4,'Факт'!$B23:$M23))</f>
        <v/>
      </c>
      <c r="H26" s="8" t="str">
        <f>IF($A26="","",G26-F26)</f>
        <v/>
      </c>
      <c r="I26" s="9" t="str">
        <f>IF($A26="","",IF(F26=0,0,G26/F26))</f>
        <v/>
      </c>
      <c r="J26" s="8" t="str">
        <f>IF($A26="","",G26+SUMIF('План'!$B$4:$M$4,"&gt;"&amp;$C$4,'План'!$B23:$M23))</f>
        <v/>
      </c>
      <c r="K26" s="3" t="str">
        <f>IF($A26="","",IF(G26&gt;F26*(1+$C$5),"Перерасход",IF(G26&lt;F26*(1-$C$5),"Экономия","В норме")))</f>
        <v/>
      </c>
    </row>
    <row r="27" spans="1:11" x14ac:dyDescent="0.25">
      <c r="A27" s="3" t="str">
        <f>IF('План'!$A24="","",'План'!$A24)</f>
        <v/>
      </c>
      <c r="B27" s="8" t="str">
        <f>IF($A27="","",INDEX('План'!$B24:$M24,1,$C$4))</f>
        <v/>
      </c>
      <c r="C27" s="8" t="str">
        <f>IF($A27="","",INDEX('Факт'!$B24:$M24,1,$C$4))</f>
        <v/>
      </c>
      <c r="D27" s="8" t="str">
        <f>IF($A27="","",C27-B27)</f>
        <v/>
      </c>
      <c r="E27" s="9" t="str">
        <f>IF($A27="","",IF(B27=0,0,D27/B27))</f>
        <v/>
      </c>
      <c r="F27" s="8" t="str">
        <f>IF($A27="","",SUMIF('План'!$B$4:$M$4,"&lt;="&amp;$C$4,'План'!$B24:$M24))</f>
        <v/>
      </c>
      <c r="G27" s="8" t="str">
        <f>IF($A27="","",SUMIF('Факт'!$B$4:$M$4,"&lt;="&amp;$C$4,'Факт'!$B24:$M24))</f>
        <v/>
      </c>
      <c r="H27" s="8" t="str">
        <f>IF($A27="","",G27-F27)</f>
        <v/>
      </c>
      <c r="I27" s="9" t="str">
        <f>IF($A27="","",IF(F27=0,0,G27/F27))</f>
        <v/>
      </c>
      <c r="J27" s="8" t="str">
        <f>IF($A27="","",G27+SUMIF('План'!$B$4:$M$4,"&gt;"&amp;$C$4,'План'!$B24:$M24))</f>
        <v/>
      </c>
      <c r="K27" s="3" t="str">
        <f>IF($A27="","",IF(G27&gt;F27*(1+$C$5),"Перерасход",IF(G27&lt;F27*(1-$C$5),"Экономия","В норме")))</f>
        <v/>
      </c>
    </row>
    <row r="28" spans="1:11" x14ac:dyDescent="0.25">
      <c r="A28" s="10" t="s">
        <v>17</v>
      </c>
      <c r="B28" s="11">
        <f>INDEX('План'!$B25:$M25,1,$C$4)</f>
        <v>821000</v>
      </c>
      <c r="C28" s="11">
        <f>INDEX('Факт'!$B25:$M25,1,$C$4)</f>
        <v>882800</v>
      </c>
      <c r="D28" s="11">
        <f>C28-B28</f>
        <v>61800</v>
      </c>
      <c r="E28" s="12">
        <f>IF(B28=0,0,D28/B28)</f>
        <v>0.075274056029</v>
      </c>
      <c r="F28" s="11">
        <f>SUMIF('План'!$B$4:$M$4,"&lt;="&amp;$C$4,'План'!$B25:$M25)</f>
        <v>7389000</v>
      </c>
      <c r="G28" s="11">
        <f>SUMIF('Факт'!$B$4:$M$4,"&lt;="&amp;$C$4,'Факт'!$B25:$M25)</f>
        <v>7516800</v>
      </c>
      <c r="H28" s="11">
        <f>G28-F28</f>
        <v>127800</v>
      </c>
      <c r="I28" s="12">
        <f>IF(F28=0,0,G28/F28)</f>
        <v>1.0172959805</v>
      </c>
      <c r="J28" s="11">
        <f>G28+SUMIF('План'!$B$4:$M$4,"&gt;"&amp;$C$4,'План'!$B25:$M25)</f>
        <v>9979800</v>
      </c>
      <c r="K28" s="10" t="str">
        <f>IF(G28&gt;F28*(1+$C$5),"Перерасход",IF(G28&lt;F28*(1-$C$5),"Экономия","В норме"))</f>
        <v>В норме</v>
      </c>
    </row>
    <row r="30" spans="1:11" x14ac:dyDescent="0.25">
      <c r="A30" s="10" t="s">
        <v>18</v>
      </c>
      <c r="B30" s="11">
        <f>INDEX('План'!$B27:$M27,1,$C$4)</f>
        <v>54000</v>
      </c>
      <c r="C30" s="11">
        <f>INDEX('Факт'!$B27:$M27,1,$C$4)</f>
        <v>67000</v>
      </c>
      <c r="D30" s="11">
        <f>C30-B30</f>
        <v>13000</v>
      </c>
      <c r="E30" s="12">
        <f>IF(B30=0,0,D30/B30)</f>
        <v>0.24074074074</v>
      </c>
      <c r="F30" s="11">
        <f>SUMIF('План'!$B$4:$M$4,"&lt;="&amp;$C$4,'План'!$B27:$M27)</f>
        <v>486000</v>
      </c>
      <c r="G30" s="11">
        <f>SUMIF('Факт'!$B$4:$M$4,"&lt;="&amp;$C$4,'Факт'!$B27:$M27)</f>
        <v>271100</v>
      </c>
      <c r="H30" s="11">
        <f>G30-F30</f>
        <v>-214900</v>
      </c>
      <c r="I30" s="12">
        <f>IF(F30=0,0,G30/F30)</f>
        <v>0.55781893004</v>
      </c>
      <c r="J30" s="11">
        <f>G30+SUMIF('План'!$B$4:$M$4,"&gt;"&amp;$C$4,'План'!$B27:$M27)</f>
        <v>433100</v>
      </c>
      <c r="K30" s="10" t="str">
        <f>IF(G30&lt;F30*(1-$C$5),"Недобор",IF(G30&gt;F30*(1+$C$5),"Выше плана","В норме"))</f>
        <v>Недобор</v>
      </c>
    </row>
  </sheetData>
  <conditionalFormatting sqref="K9:K30">
    <cfRule type="expression" dxfId="0" priority="1">
      <formula>OR(K9="Недобор",K9="Перерасход")</formula>
    </cfRule>
  </conditionalFormatting>
  <conditionalFormatting sqref="K9:K30">
    <cfRule type="expression" dxfId="1" priority="2">
      <formula>OR(K9="Выше плана",K9="Экономия")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4" customWidth="1"/>
    <col min="14" max="14" width="16" customWidth="1"/>
  </cols>
  <sheetData>
    <row r="1" spans="1:1" x14ac:dyDescent="0.25">
      <c r="A1" s="1" t="s">
        <v>19</v>
      </c>
    </row>
    <row r="2" spans="1:1" x14ac:dyDescent="0.25">
      <c r="A2" s="2" t="s">
        <v>20</v>
      </c>
    </row>
    <row r="3" spans="1:14" x14ac:dyDescent="0.25">
      <c r="A3" s="6" t="s">
        <v>4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 t="s">
        <v>27</v>
      </c>
      <c r="I3" s="6" t="s">
        <v>28</v>
      </c>
      <c r="J3" s="6" t="s">
        <v>29</v>
      </c>
      <c r="K3" s="6" t="s">
        <v>30</v>
      </c>
      <c r="L3" s="6" t="s">
        <v>31</v>
      </c>
      <c r="M3" s="6" t="s">
        <v>32</v>
      </c>
      <c r="N3" s="6" t="s">
        <v>33</v>
      </c>
    </row>
    <row r="4" spans="2:13" x14ac:dyDescent="0.25">
      <c r="B4" s="13">
        <v>1</v>
      </c>
      <c r="C4" s="13">
        <v>2</v>
      </c>
      <c r="D4" s="13">
        <v>3</v>
      </c>
      <c r="E4" s="13">
        <v>4</v>
      </c>
      <c r="F4" s="13">
        <v>5</v>
      </c>
      <c r="G4" s="13">
        <v>6</v>
      </c>
      <c r="H4" s="13">
        <v>7</v>
      </c>
      <c r="I4" s="13">
        <v>8</v>
      </c>
      <c r="J4" s="13">
        <v>9</v>
      </c>
      <c r="K4" s="13">
        <v>10</v>
      </c>
      <c r="L4" s="13">
        <v>11</v>
      </c>
      <c r="M4" s="13">
        <v>12</v>
      </c>
    </row>
    <row r="5" spans="1:1" x14ac:dyDescent="0.25">
      <c r="A5" s="7" t="s">
        <v>14</v>
      </c>
    </row>
    <row r="6" spans="1:14" x14ac:dyDescent="0.25">
      <c r="A6" s="4" t="s">
        <v>34</v>
      </c>
      <c r="B6" s="14">
        <v>620000</v>
      </c>
      <c r="C6" s="14">
        <v>620000</v>
      </c>
      <c r="D6" s="14">
        <v>620000</v>
      </c>
      <c r="E6" s="14">
        <v>620000</v>
      </c>
      <c r="F6" s="14">
        <v>620000</v>
      </c>
      <c r="G6" s="14">
        <v>620000</v>
      </c>
      <c r="H6" s="14">
        <v>620000</v>
      </c>
      <c r="I6" s="14">
        <v>620000</v>
      </c>
      <c r="J6" s="14">
        <v>620000</v>
      </c>
      <c r="K6" s="14">
        <v>620000</v>
      </c>
      <c r="L6" s="14">
        <v>620000</v>
      </c>
      <c r="M6" s="14">
        <v>620000</v>
      </c>
      <c r="N6" s="8">
        <f>SUM(B6:M6)</f>
        <v>7440000</v>
      </c>
    </row>
    <row r="7" spans="1:14" x14ac:dyDescent="0.25">
      <c r="A7" s="4" t="s">
        <v>35</v>
      </c>
      <c r="B7" s="14">
        <v>240000</v>
      </c>
      <c r="C7" s="14">
        <v>240000</v>
      </c>
      <c r="D7" s="14">
        <v>240000</v>
      </c>
      <c r="E7" s="14">
        <v>240000</v>
      </c>
      <c r="F7" s="14">
        <v>240000</v>
      </c>
      <c r="G7" s="14">
        <v>240000</v>
      </c>
      <c r="H7" s="14">
        <v>240000</v>
      </c>
      <c r="I7" s="14">
        <v>240000</v>
      </c>
      <c r="J7" s="14">
        <v>240000</v>
      </c>
      <c r="K7" s="14">
        <v>240000</v>
      </c>
      <c r="L7" s="14">
        <v>240000</v>
      </c>
      <c r="M7" s="14">
        <v>240000</v>
      </c>
      <c r="N7" s="8">
        <f>SUM(B7:M7)</f>
        <v>2880000</v>
      </c>
    </row>
    <row r="8" spans="1:14" x14ac:dyDescent="0.25">
      <c r="A8" s="4" t="s">
        <v>36</v>
      </c>
      <c r="B8" s="14">
        <v>15000</v>
      </c>
      <c r="C8" s="14">
        <v>15000</v>
      </c>
      <c r="D8" s="14">
        <v>15000</v>
      </c>
      <c r="E8" s="14">
        <v>15000</v>
      </c>
      <c r="F8" s="14">
        <v>15000</v>
      </c>
      <c r="G8" s="14">
        <v>15000</v>
      </c>
      <c r="H8" s="14">
        <v>15000</v>
      </c>
      <c r="I8" s="14">
        <v>15000</v>
      </c>
      <c r="J8" s="14">
        <v>15000</v>
      </c>
      <c r="K8" s="14">
        <v>15000</v>
      </c>
      <c r="L8" s="14">
        <v>15000</v>
      </c>
      <c r="M8" s="14">
        <v>15000</v>
      </c>
      <c r="N8" s="8">
        <f>SUM(B8:M8)</f>
        <v>180000</v>
      </c>
    </row>
    <row r="9" spans="1:14" x14ac:dyDescent="0.25">
      <c r="A9" s="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8">
        <f>SUM(B9:M9)</f>
        <v>0</v>
      </c>
    </row>
    <row r="10" spans="1:14" x14ac:dyDescent="0.25">
      <c r="A10" s="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8">
        <f>SUM(B10:M10)</f>
        <v>0</v>
      </c>
    </row>
    <row r="11" spans="1:14" x14ac:dyDescent="0.25">
      <c r="A11" s="10" t="s">
        <v>15</v>
      </c>
      <c r="B11" s="11">
        <f>SUM(B6:B10)</f>
        <v>875000</v>
      </c>
      <c r="C11" s="11">
        <f>SUM(C6:C10)</f>
        <v>875000</v>
      </c>
      <c r="D11" s="11">
        <f>SUM(D6:D10)</f>
        <v>875000</v>
      </c>
      <c r="E11" s="11">
        <f>SUM(E6:E10)</f>
        <v>875000</v>
      </c>
      <c r="F11" s="11">
        <f>SUM(F6:F10)</f>
        <v>875000</v>
      </c>
      <c r="G11" s="11">
        <f>SUM(G6:G10)</f>
        <v>875000</v>
      </c>
      <c r="H11" s="11">
        <f>SUM(H6:H10)</f>
        <v>875000</v>
      </c>
      <c r="I11" s="11">
        <f>SUM(I6:I10)</f>
        <v>875000</v>
      </c>
      <c r="J11" s="11">
        <f>SUM(J6:J10)</f>
        <v>875000</v>
      </c>
      <c r="K11" s="11">
        <f>SUM(K6:K10)</f>
        <v>875000</v>
      </c>
      <c r="L11" s="11">
        <f>SUM(L6:L10)</f>
        <v>875000</v>
      </c>
      <c r="M11" s="11">
        <f>SUM(M6:M10)</f>
        <v>875000</v>
      </c>
      <c r="N11" s="11">
        <f>SUM(N6:N10)</f>
        <v>10500000</v>
      </c>
    </row>
    <row r="12" spans="1:1" x14ac:dyDescent="0.25">
      <c r="A12" s="7" t="s">
        <v>16</v>
      </c>
    </row>
    <row r="13" spans="1:14" x14ac:dyDescent="0.25">
      <c r="A13" s="4" t="s">
        <v>37</v>
      </c>
      <c r="B13" s="14">
        <v>410000</v>
      </c>
      <c r="C13" s="14">
        <v>410000</v>
      </c>
      <c r="D13" s="14">
        <v>410000</v>
      </c>
      <c r="E13" s="14">
        <v>410000</v>
      </c>
      <c r="F13" s="14">
        <v>410000</v>
      </c>
      <c r="G13" s="14">
        <v>410000</v>
      </c>
      <c r="H13" s="14">
        <v>410000</v>
      </c>
      <c r="I13" s="14">
        <v>410000</v>
      </c>
      <c r="J13" s="14">
        <v>410000</v>
      </c>
      <c r="K13" s="14">
        <v>410000</v>
      </c>
      <c r="L13" s="14">
        <v>410000</v>
      </c>
      <c r="M13" s="14">
        <v>410000</v>
      </c>
      <c r="N13" s="8">
        <f>SUM(B13:M13)</f>
        <v>4920000</v>
      </c>
    </row>
    <row r="14" spans="1:14" x14ac:dyDescent="0.25">
      <c r="A14" s="4" t="s">
        <v>38</v>
      </c>
      <c r="B14" s="14">
        <v>150000</v>
      </c>
      <c r="C14" s="14">
        <v>150000</v>
      </c>
      <c r="D14" s="14">
        <v>150000</v>
      </c>
      <c r="E14" s="14">
        <v>150000</v>
      </c>
      <c r="F14" s="14">
        <v>150000</v>
      </c>
      <c r="G14" s="14">
        <v>150000</v>
      </c>
      <c r="H14" s="14">
        <v>150000</v>
      </c>
      <c r="I14" s="14">
        <v>150000</v>
      </c>
      <c r="J14" s="14">
        <v>150000</v>
      </c>
      <c r="K14" s="14">
        <v>150000</v>
      </c>
      <c r="L14" s="14">
        <v>150000</v>
      </c>
      <c r="M14" s="14">
        <v>150000</v>
      </c>
      <c r="N14" s="8">
        <f>SUM(B14:M14)</f>
        <v>1800000</v>
      </c>
    </row>
    <row r="15" spans="1:14" x14ac:dyDescent="0.25">
      <c r="A15" s="4" t="s">
        <v>39</v>
      </c>
      <c r="B15" s="14">
        <v>85000</v>
      </c>
      <c r="C15" s="14">
        <v>85000</v>
      </c>
      <c r="D15" s="14">
        <v>85000</v>
      </c>
      <c r="E15" s="14">
        <v>85000</v>
      </c>
      <c r="F15" s="14">
        <v>85000</v>
      </c>
      <c r="G15" s="14">
        <v>85000</v>
      </c>
      <c r="H15" s="14">
        <v>85000</v>
      </c>
      <c r="I15" s="14">
        <v>85000</v>
      </c>
      <c r="J15" s="14">
        <v>85000</v>
      </c>
      <c r="K15" s="14">
        <v>85000</v>
      </c>
      <c r="L15" s="14">
        <v>85000</v>
      </c>
      <c r="M15" s="14">
        <v>85000</v>
      </c>
      <c r="N15" s="8">
        <f>SUM(B15:M15)</f>
        <v>1020000</v>
      </c>
    </row>
    <row r="16" spans="1:14" x14ac:dyDescent="0.25">
      <c r="A16" s="4" t="s">
        <v>40</v>
      </c>
      <c r="B16" s="14">
        <v>60000</v>
      </c>
      <c r="C16" s="14">
        <v>60000</v>
      </c>
      <c r="D16" s="14">
        <v>60000</v>
      </c>
      <c r="E16" s="14">
        <v>60000</v>
      </c>
      <c r="F16" s="14">
        <v>60000</v>
      </c>
      <c r="G16" s="14">
        <v>60000</v>
      </c>
      <c r="H16" s="14">
        <v>60000</v>
      </c>
      <c r="I16" s="14">
        <v>60000</v>
      </c>
      <c r="J16" s="14">
        <v>60000</v>
      </c>
      <c r="K16" s="14">
        <v>60000</v>
      </c>
      <c r="L16" s="14">
        <v>60000</v>
      </c>
      <c r="M16" s="14">
        <v>60000</v>
      </c>
      <c r="N16" s="8">
        <f>SUM(B16:M16)</f>
        <v>720000</v>
      </c>
    </row>
    <row r="17" spans="1:14" x14ac:dyDescent="0.25">
      <c r="A17" s="4" t="s">
        <v>41</v>
      </c>
      <c r="B17" s="14">
        <v>52000</v>
      </c>
      <c r="C17" s="14">
        <v>52000</v>
      </c>
      <c r="D17" s="14">
        <v>52000</v>
      </c>
      <c r="E17" s="14">
        <v>52000</v>
      </c>
      <c r="F17" s="14">
        <v>52000</v>
      </c>
      <c r="G17" s="14">
        <v>52000</v>
      </c>
      <c r="H17" s="14">
        <v>52000</v>
      </c>
      <c r="I17" s="14">
        <v>52000</v>
      </c>
      <c r="J17" s="14">
        <v>52000</v>
      </c>
      <c r="K17" s="14">
        <v>52000</v>
      </c>
      <c r="L17" s="14">
        <v>52000</v>
      </c>
      <c r="M17" s="14">
        <v>52000</v>
      </c>
      <c r="N17" s="8">
        <f>SUM(B17:M17)</f>
        <v>624000</v>
      </c>
    </row>
    <row r="18" spans="1:14" x14ac:dyDescent="0.25">
      <c r="A18" s="4" t="s">
        <v>42</v>
      </c>
      <c r="B18" s="14">
        <v>12000</v>
      </c>
      <c r="C18" s="14">
        <v>12000</v>
      </c>
      <c r="D18" s="14">
        <v>12000</v>
      </c>
      <c r="E18" s="14">
        <v>12000</v>
      </c>
      <c r="F18" s="14">
        <v>12000</v>
      </c>
      <c r="G18" s="14">
        <v>12000</v>
      </c>
      <c r="H18" s="14">
        <v>12000</v>
      </c>
      <c r="I18" s="14">
        <v>12000</v>
      </c>
      <c r="J18" s="14">
        <v>12000</v>
      </c>
      <c r="K18" s="14">
        <v>12000</v>
      </c>
      <c r="L18" s="14">
        <v>12000</v>
      </c>
      <c r="M18" s="14">
        <v>12000</v>
      </c>
      <c r="N18" s="8">
        <f>SUM(B18:M18)</f>
        <v>144000</v>
      </c>
    </row>
    <row r="19" spans="1:14" x14ac:dyDescent="0.25">
      <c r="A19" s="4" t="s">
        <v>43</v>
      </c>
      <c r="B19" s="14">
        <v>18000</v>
      </c>
      <c r="C19" s="14">
        <v>18000</v>
      </c>
      <c r="D19" s="14">
        <v>18000</v>
      </c>
      <c r="E19" s="14">
        <v>18000</v>
      </c>
      <c r="F19" s="14">
        <v>18000</v>
      </c>
      <c r="G19" s="14">
        <v>18000</v>
      </c>
      <c r="H19" s="14">
        <v>18000</v>
      </c>
      <c r="I19" s="14">
        <v>18000</v>
      </c>
      <c r="J19" s="14">
        <v>18000</v>
      </c>
      <c r="K19" s="14">
        <v>18000</v>
      </c>
      <c r="L19" s="14">
        <v>18000</v>
      </c>
      <c r="M19" s="14">
        <v>18000</v>
      </c>
      <c r="N19" s="8">
        <f>SUM(B19:M19)</f>
        <v>216000</v>
      </c>
    </row>
    <row r="20" spans="1:14" x14ac:dyDescent="0.25">
      <c r="A20" s="4" t="s">
        <v>44</v>
      </c>
      <c r="B20" s="14">
        <v>14000</v>
      </c>
      <c r="C20" s="14">
        <v>14000</v>
      </c>
      <c r="D20" s="14">
        <v>14000</v>
      </c>
      <c r="E20" s="14">
        <v>14000</v>
      </c>
      <c r="F20" s="14">
        <v>14000</v>
      </c>
      <c r="G20" s="14">
        <v>14000</v>
      </c>
      <c r="H20" s="14">
        <v>14000</v>
      </c>
      <c r="I20" s="14">
        <v>14000</v>
      </c>
      <c r="J20" s="14">
        <v>14000</v>
      </c>
      <c r="K20" s="14">
        <v>14000</v>
      </c>
      <c r="L20" s="14">
        <v>14000</v>
      </c>
      <c r="M20" s="14">
        <v>14000</v>
      </c>
      <c r="N20" s="8">
        <f>SUM(B20:M20)</f>
        <v>168000</v>
      </c>
    </row>
    <row r="21" spans="1:14" x14ac:dyDescent="0.25">
      <c r="A21" s="4" t="s">
        <v>45</v>
      </c>
      <c r="B21" s="14">
        <v>20000</v>
      </c>
      <c r="C21" s="14">
        <v>20000</v>
      </c>
      <c r="D21" s="14">
        <v>20000</v>
      </c>
      <c r="E21" s="14">
        <v>20000</v>
      </c>
      <c r="F21" s="14">
        <v>20000</v>
      </c>
      <c r="G21" s="14">
        <v>20000</v>
      </c>
      <c r="H21" s="14">
        <v>20000</v>
      </c>
      <c r="I21" s="14">
        <v>20000</v>
      </c>
      <c r="J21" s="14">
        <v>20000</v>
      </c>
      <c r="K21" s="14">
        <v>20000</v>
      </c>
      <c r="L21" s="14">
        <v>20000</v>
      </c>
      <c r="M21" s="14">
        <v>20000</v>
      </c>
      <c r="N21" s="8">
        <f>SUM(B21:M21)</f>
        <v>240000</v>
      </c>
    </row>
    <row r="22" spans="1:14" x14ac:dyDescent="0.25">
      <c r="A22" s="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8">
        <f>SUM(B22:M22)</f>
        <v>0</v>
      </c>
    </row>
    <row r="23" spans="1:14" x14ac:dyDescent="0.25">
      <c r="A23" s="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8">
        <f>SUM(B23:M23)</f>
        <v>0</v>
      </c>
    </row>
    <row r="24" spans="1:14" x14ac:dyDescent="0.25">
      <c r="A24" s="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8">
        <f>SUM(B24:M24)</f>
        <v>0</v>
      </c>
    </row>
    <row r="25" spans="1:14" x14ac:dyDescent="0.25">
      <c r="A25" s="10" t="s">
        <v>17</v>
      </c>
      <c r="B25" s="11">
        <f>SUM(B13:B24)</f>
        <v>821000</v>
      </c>
      <c r="C25" s="11">
        <f>SUM(C13:C24)</f>
        <v>821000</v>
      </c>
      <c r="D25" s="11">
        <f>SUM(D13:D24)</f>
        <v>821000</v>
      </c>
      <c r="E25" s="11">
        <f>SUM(E13:E24)</f>
        <v>821000</v>
      </c>
      <c r="F25" s="11">
        <f>SUM(F13:F24)</f>
        <v>821000</v>
      </c>
      <c r="G25" s="11">
        <f>SUM(G13:G24)</f>
        <v>821000</v>
      </c>
      <c r="H25" s="11">
        <f>SUM(H13:H24)</f>
        <v>821000</v>
      </c>
      <c r="I25" s="11">
        <f>SUM(I13:I24)</f>
        <v>821000</v>
      </c>
      <c r="J25" s="11">
        <f>SUM(J13:J24)</f>
        <v>821000</v>
      </c>
      <c r="K25" s="11">
        <f>SUM(K13:K24)</f>
        <v>821000</v>
      </c>
      <c r="L25" s="11">
        <f>SUM(L13:L24)</f>
        <v>821000</v>
      </c>
      <c r="M25" s="11">
        <f>SUM(M13:M24)</f>
        <v>821000</v>
      </c>
      <c r="N25" s="11">
        <f>SUM(N13:N24)</f>
        <v>9852000</v>
      </c>
    </row>
    <row r="27" spans="1:14" x14ac:dyDescent="0.25">
      <c r="A27" s="10" t="s">
        <v>18</v>
      </c>
      <c r="B27" s="11">
        <f>B11-B25</f>
        <v>54000</v>
      </c>
      <c r="C27" s="11">
        <f>C11-C25</f>
        <v>54000</v>
      </c>
      <c r="D27" s="11">
        <f>D11-D25</f>
        <v>54000</v>
      </c>
      <c r="E27" s="11">
        <f>E11-E25</f>
        <v>54000</v>
      </c>
      <c r="F27" s="11">
        <f>F11-F25</f>
        <v>54000</v>
      </c>
      <c r="G27" s="11">
        <f>G11-G25</f>
        <v>54000</v>
      </c>
      <c r="H27" s="11">
        <f>H11-H25</f>
        <v>54000</v>
      </c>
      <c r="I27" s="11">
        <f>I11-I25</f>
        <v>54000</v>
      </c>
      <c r="J27" s="11">
        <f>J11-J25</f>
        <v>54000</v>
      </c>
      <c r="K27" s="11">
        <f>K11-K25</f>
        <v>54000</v>
      </c>
      <c r="L27" s="11">
        <f>L11-L25</f>
        <v>54000</v>
      </c>
      <c r="M27" s="11">
        <f>M11-M25</f>
        <v>54000</v>
      </c>
      <c r="N27" s="11">
        <f>N11-N25</f>
        <v>648000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13" width="14" customWidth="1"/>
    <col min="14" max="14" width="16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3" spans="1:14" x14ac:dyDescent="0.25">
      <c r="A3" s="6" t="s">
        <v>4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 t="s">
        <v>27</v>
      </c>
      <c r="I3" s="6" t="s">
        <v>28</v>
      </c>
      <c r="J3" s="6" t="s">
        <v>29</v>
      </c>
      <c r="K3" s="6" t="s">
        <v>30</v>
      </c>
      <c r="L3" s="6" t="s">
        <v>31</v>
      </c>
      <c r="M3" s="6" t="s">
        <v>32</v>
      </c>
      <c r="N3" s="6" t="s">
        <v>33</v>
      </c>
    </row>
    <row r="4" spans="2:13" x14ac:dyDescent="0.25">
      <c r="B4" s="13">
        <v>1</v>
      </c>
      <c r="C4" s="13">
        <v>2</v>
      </c>
      <c r="D4" s="13">
        <v>3</v>
      </c>
      <c r="E4" s="13">
        <v>4</v>
      </c>
      <c r="F4" s="13">
        <v>5</v>
      </c>
      <c r="G4" s="13">
        <v>6</v>
      </c>
      <c r="H4" s="13">
        <v>7</v>
      </c>
      <c r="I4" s="13">
        <v>8</v>
      </c>
      <c r="J4" s="13">
        <v>9</v>
      </c>
      <c r="K4" s="13">
        <v>10</v>
      </c>
      <c r="L4" s="13">
        <v>11</v>
      </c>
      <c r="M4" s="13">
        <v>12</v>
      </c>
    </row>
    <row r="5" spans="1:1" x14ac:dyDescent="0.25">
      <c r="A5" s="7" t="s">
        <v>14</v>
      </c>
    </row>
    <row r="6" spans="1:14" x14ac:dyDescent="0.25">
      <c r="A6" s="3" t="str">
        <f>IF('План'!$A6="","",'План'!$A6)</f>
        <v>Выручка от услуг</v>
      </c>
      <c r="B6" s="14">
        <v>585000</v>
      </c>
      <c r="C6" s="14">
        <v>604000</v>
      </c>
      <c r="D6" s="14">
        <v>640500</v>
      </c>
      <c r="E6" s="14">
        <v>598000</v>
      </c>
      <c r="F6" s="14">
        <v>655000</v>
      </c>
      <c r="G6" s="14">
        <v>612300</v>
      </c>
      <c r="H6" s="14">
        <v>571000</v>
      </c>
      <c r="I6" s="14">
        <v>630000</v>
      </c>
      <c r="J6" s="14">
        <v>668400</v>
      </c>
      <c r="K6" s="14"/>
      <c r="L6" s="14"/>
      <c r="M6" s="14"/>
      <c r="N6" s="8">
        <f>SUM(B6:M6)</f>
        <v>5564200</v>
      </c>
    </row>
    <row r="7" spans="1:14" x14ac:dyDescent="0.25">
      <c r="A7" s="3" t="str">
        <f>IF('План'!$A7="","",'План'!$A7)</f>
        <v>Выручка от товаров</v>
      </c>
      <c r="B7" s="14">
        <v>212000</v>
      </c>
      <c r="C7" s="14">
        <v>228500</v>
      </c>
      <c r="D7" s="14">
        <v>251000</v>
      </c>
      <c r="E7" s="14">
        <v>233000</v>
      </c>
      <c r="F7" s="14">
        <v>219800</v>
      </c>
      <c r="G7" s="14">
        <v>246000</v>
      </c>
      <c r="H7" s="14">
        <v>205000</v>
      </c>
      <c r="I7" s="14">
        <v>238700</v>
      </c>
      <c r="J7" s="14">
        <v>262000</v>
      </c>
      <c r="K7" s="14"/>
      <c r="L7" s="14"/>
      <c r="M7" s="14"/>
      <c r="N7" s="8">
        <f>SUM(B7:M7)</f>
        <v>2096000</v>
      </c>
    </row>
    <row r="8" spans="1:14" x14ac:dyDescent="0.25">
      <c r="A8" s="3" t="str">
        <f>IF('План'!$A8="","",'План'!$A8)</f>
        <v>Прочие доходы</v>
      </c>
      <c r="B8" s="14">
        <v>9800</v>
      </c>
      <c r="C8" s="14">
        <v>14200</v>
      </c>
      <c r="D8" s="14">
        <v>21000</v>
      </c>
      <c r="E8" s="14">
        <v>12500</v>
      </c>
      <c r="F8" s="14">
        <v>8900</v>
      </c>
      <c r="G8" s="14">
        <v>17300</v>
      </c>
      <c r="H8" s="14">
        <v>11000</v>
      </c>
      <c r="I8" s="14">
        <v>13600</v>
      </c>
      <c r="J8" s="14">
        <v>19400</v>
      </c>
      <c r="K8" s="14"/>
      <c r="L8" s="14"/>
      <c r="M8" s="14"/>
      <c r="N8" s="8">
        <f>SUM(B8:M8)</f>
        <v>127700</v>
      </c>
    </row>
    <row r="9" spans="1:14" x14ac:dyDescent="0.25">
      <c r="A9" s="3" t="str">
        <f>IF('План'!$A9="","",'План'!$A9)</f>
        <v/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8">
        <f>SUM(B9:M9)</f>
        <v>0</v>
      </c>
    </row>
    <row r="10" spans="1:14" x14ac:dyDescent="0.25">
      <c r="A10" s="3" t="str">
        <f>IF('План'!$A10="","",'План'!$A10)</f>
        <v/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8">
        <f>SUM(B10:M10)</f>
        <v>0</v>
      </c>
    </row>
    <row r="11" spans="1:14" x14ac:dyDescent="0.25">
      <c r="A11" s="10" t="s">
        <v>15</v>
      </c>
      <c r="B11" s="11">
        <f>SUM(B6:B10)</f>
        <v>806800</v>
      </c>
      <c r="C11" s="11">
        <f>SUM(C6:C10)</f>
        <v>846700</v>
      </c>
      <c r="D11" s="11">
        <f>SUM(D6:D10)</f>
        <v>912500</v>
      </c>
      <c r="E11" s="11">
        <f>SUM(E6:E10)</f>
        <v>843500</v>
      </c>
      <c r="F11" s="11">
        <f>SUM(F6:F10)</f>
        <v>883700</v>
      </c>
      <c r="G11" s="11">
        <f>SUM(G6:G10)</f>
        <v>875600</v>
      </c>
      <c r="H11" s="11">
        <f>SUM(H6:H10)</f>
        <v>787000</v>
      </c>
      <c r="I11" s="11">
        <f>SUM(I6:I10)</f>
        <v>882300</v>
      </c>
      <c r="J11" s="11">
        <f>SUM(J6:J10)</f>
        <v>949800</v>
      </c>
      <c r="K11" s="11">
        <f>SUM(K6:K10)</f>
        <v>0</v>
      </c>
      <c r="L11" s="11">
        <f>SUM(L6:L10)</f>
        <v>0</v>
      </c>
      <c r="M11" s="11">
        <f>SUM(M6:M10)</f>
        <v>0</v>
      </c>
      <c r="N11" s="11">
        <f>SUM(N6:N10)</f>
        <v>7787900</v>
      </c>
    </row>
    <row r="12" spans="1:1" x14ac:dyDescent="0.25">
      <c r="A12" s="7" t="s">
        <v>16</v>
      </c>
    </row>
    <row r="13" spans="1:14" x14ac:dyDescent="0.25">
      <c r="A13" s="3" t="str">
        <f>IF('План'!$A13="","",'План'!$A13)</f>
        <v>Зарплата и взносы</v>
      </c>
      <c r="B13" s="14">
        <v>410000</v>
      </c>
      <c r="C13" s="14">
        <v>410000</v>
      </c>
      <c r="D13" s="14">
        <v>418500</v>
      </c>
      <c r="E13" s="14">
        <v>410000</v>
      </c>
      <c r="F13" s="14">
        <v>426000</v>
      </c>
      <c r="G13" s="14">
        <v>410000</v>
      </c>
      <c r="H13" s="14">
        <v>410000</v>
      </c>
      <c r="I13" s="14">
        <v>431200</v>
      </c>
      <c r="J13" s="14">
        <v>410000</v>
      </c>
      <c r="K13" s="14"/>
      <c r="L13" s="14"/>
      <c r="M13" s="14"/>
      <c r="N13" s="8">
        <f>SUM(B13:M13)</f>
        <v>3735700</v>
      </c>
    </row>
    <row r="14" spans="1:14" x14ac:dyDescent="0.25">
      <c r="A14" s="3" t="str">
        <f>IF('План'!$A14="","",'План'!$A14)</f>
        <v>Закупки</v>
      </c>
      <c r="B14" s="14">
        <v>138400</v>
      </c>
      <c r="C14" s="14">
        <v>152900</v>
      </c>
      <c r="D14" s="14">
        <v>171300</v>
      </c>
      <c r="E14" s="14">
        <v>149000</v>
      </c>
      <c r="F14" s="14">
        <v>144600</v>
      </c>
      <c r="G14" s="14">
        <v>163800</v>
      </c>
      <c r="H14" s="14">
        <v>131500</v>
      </c>
      <c r="I14" s="14">
        <v>158200</v>
      </c>
      <c r="J14" s="14">
        <v>176900</v>
      </c>
      <c r="K14" s="14"/>
      <c r="L14" s="14"/>
      <c r="M14" s="14"/>
      <c r="N14" s="8">
        <f>SUM(B14:M14)</f>
        <v>1386600</v>
      </c>
    </row>
    <row r="15" spans="1:14" x14ac:dyDescent="0.25">
      <c r="A15" s="3" t="str">
        <f>IF('План'!$A15="","",'План'!$A15)</f>
        <v>Аренда</v>
      </c>
      <c r="B15" s="14">
        <v>85000</v>
      </c>
      <c r="C15" s="14">
        <v>85000</v>
      </c>
      <c r="D15" s="14">
        <v>85000</v>
      </c>
      <c r="E15" s="14">
        <v>85000</v>
      </c>
      <c r="F15" s="14">
        <v>85000</v>
      </c>
      <c r="G15" s="14">
        <v>85000</v>
      </c>
      <c r="H15" s="14">
        <v>85000</v>
      </c>
      <c r="I15" s="14">
        <v>85000</v>
      </c>
      <c r="J15" s="14">
        <v>85000</v>
      </c>
      <c r="K15" s="14"/>
      <c r="L15" s="14"/>
      <c r="M15" s="14"/>
      <c r="N15" s="8">
        <f>SUM(B15:M15)</f>
        <v>765000</v>
      </c>
    </row>
    <row r="16" spans="1:14" x14ac:dyDescent="0.25">
      <c r="A16" s="3" t="str">
        <f>IF('План'!$A16="","",'План'!$A16)</f>
        <v>Реклама</v>
      </c>
      <c r="B16" s="14">
        <v>48000</v>
      </c>
      <c r="C16" s="14">
        <v>61500</v>
      </c>
      <c r="D16" s="14">
        <v>74200</v>
      </c>
      <c r="E16" s="14">
        <v>66800</v>
      </c>
      <c r="F16" s="14">
        <v>59000</v>
      </c>
      <c r="G16" s="14">
        <v>72400</v>
      </c>
      <c r="H16" s="14">
        <v>51300</v>
      </c>
      <c r="I16" s="14">
        <v>68900</v>
      </c>
      <c r="J16" s="14">
        <v>81500</v>
      </c>
      <c r="K16" s="14"/>
      <c r="L16" s="14"/>
      <c r="M16" s="14"/>
      <c r="N16" s="8">
        <f>SUM(B16:M16)</f>
        <v>583600</v>
      </c>
    </row>
    <row r="17" spans="1:14" x14ac:dyDescent="0.25">
      <c r="A17" s="3" t="str">
        <f>IF('План'!$A17="","",'План'!$A17)</f>
        <v>Налоги</v>
      </c>
      <c r="B17" s="14">
        <v>47800</v>
      </c>
      <c r="C17" s="14">
        <v>50700</v>
      </c>
      <c r="D17" s="14">
        <v>54800</v>
      </c>
      <c r="E17" s="14">
        <v>50600</v>
      </c>
      <c r="F17" s="14">
        <v>53000</v>
      </c>
      <c r="G17" s="14">
        <v>52500</v>
      </c>
      <c r="H17" s="14">
        <v>47200</v>
      </c>
      <c r="I17" s="14">
        <v>52900</v>
      </c>
      <c r="J17" s="14">
        <v>57000</v>
      </c>
      <c r="K17" s="14"/>
      <c r="L17" s="14"/>
      <c r="M17" s="14"/>
      <c r="N17" s="8">
        <f>SUM(B17:M17)</f>
        <v>466500</v>
      </c>
    </row>
    <row r="18" spans="1:14" x14ac:dyDescent="0.25">
      <c r="A18" s="3" t="str">
        <f>IF('План'!$A18="","",'План'!$A18)</f>
        <v>Связь и сервисы</v>
      </c>
      <c r="B18" s="14">
        <v>11400</v>
      </c>
      <c r="C18" s="14">
        <v>11400</v>
      </c>
      <c r="D18" s="14">
        <v>12900</v>
      </c>
      <c r="E18" s="14">
        <v>11400</v>
      </c>
      <c r="F18" s="14">
        <v>11400</v>
      </c>
      <c r="G18" s="14">
        <v>13600</v>
      </c>
      <c r="H18" s="14">
        <v>11400</v>
      </c>
      <c r="I18" s="14">
        <v>11400</v>
      </c>
      <c r="J18" s="14">
        <v>12100</v>
      </c>
      <c r="K18" s="14"/>
      <c r="L18" s="14"/>
      <c r="M18" s="14"/>
      <c r="N18" s="8">
        <f>SUM(B18:M18)</f>
        <v>107000</v>
      </c>
    </row>
    <row r="19" spans="1:14" x14ac:dyDescent="0.25">
      <c r="A19" s="3" t="str">
        <f>IF('План'!$A19="","",'План'!$A19)</f>
        <v>Транспорт</v>
      </c>
      <c r="B19" s="14">
        <v>15200</v>
      </c>
      <c r="C19" s="14">
        <v>19800</v>
      </c>
      <c r="D19" s="14">
        <v>17400</v>
      </c>
      <c r="E19" s="14">
        <v>16900</v>
      </c>
      <c r="F19" s="14">
        <v>21300</v>
      </c>
      <c r="G19" s="14">
        <v>18600</v>
      </c>
      <c r="H19" s="14">
        <v>12800</v>
      </c>
      <c r="I19" s="14">
        <v>17700</v>
      </c>
      <c r="J19" s="14">
        <v>20400</v>
      </c>
      <c r="K19" s="14"/>
      <c r="L19" s="14"/>
      <c r="M19" s="14"/>
      <c r="N19" s="8">
        <f>SUM(B19:M19)</f>
        <v>160100</v>
      </c>
    </row>
    <row r="20" spans="1:14" x14ac:dyDescent="0.25">
      <c r="A20" s="3" t="str">
        <f>IF('План'!$A20="","",'План'!$A20)</f>
        <v>Банк и эквайринг</v>
      </c>
      <c r="B20" s="14">
        <v>12900</v>
      </c>
      <c r="C20" s="14">
        <v>13400</v>
      </c>
      <c r="D20" s="14">
        <v>14800</v>
      </c>
      <c r="E20" s="14">
        <v>13500</v>
      </c>
      <c r="F20" s="14">
        <v>14100</v>
      </c>
      <c r="G20" s="14">
        <v>14300</v>
      </c>
      <c r="H20" s="14">
        <v>12600</v>
      </c>
      <c r="I20" s="14">
        <v>14000</v>
      </c>
      <c r="J20" s="14">
        <v>15200</v>
      </c>
      <c r="K20" s="14"/>
      <c r="L20" s="14"/>
      <c r="M20" s="14"/>
      <c r="N20" s="8">
        <f>SUM(B20:M20)</f>
        <v>124800</v>
      </c>
    </row>
    <row r="21" spans="1:14" x14ac:dyDescent="0.25">
      <c r="A21" s="3" t="str">
        <f>IF('План'!$A21="","",'План'!$A21)</f>
        <v>Прочие расходы</v>
      </c>
      <c r="B21" s="14">
        <v>14500</v>
      </c>
      <c r="C21" s="14">
        <v>26300</v>
      </c>
      <c r="D21" s="14">
        <v>18900</v>
      </c>
      <c r="E21" s="14">
        <v>22100</v>
      </c>
      <c r="F21" s="14">
        <v>16400</v>
      </c>
      <c r="G21" s="14">
        <v>31800</v>
      </c>
      <c r="H21" s="14">
        <v>13200</v>
      </c>
      <c r="I21" s="14">
        <v>19600</v>
      </c>
      <c r="J21" s="14">
        <v>24700</v>
      </c>
      <c r="K21" s="14"/>
      <c r="L21" s="14"/>
      <c r="M21" s="14"/>
      <c r="N21" s="8">
        <f>SUM(B21:M21)</f>
        <v>187500</v>
      </c>
    </row>
    <row r="22" spans="1:14" x14ac:dyDescent="0.25">
      <c r="A22" s="3" t="str">
        <f>IF('План'!$A22="","",'План'!$A22)</f>
        <v/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8">
        <f>SUM(B22:M22)</f>
        <v>0</v>
      </c>
    </row>
    <row r="23" spans="1:14" x14ac:dyDescent="0.25">
      <c r="A23" s="3" t="str">
        <f>IF('План'!$A23="","",'План'!$A23)</f>
        <v/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8">
        <f>SUM(B23:M23)</f>
        <v>0</v>
      </c>
    </row>
    <row r="24" spans="1:14" x14ac:dyDescent="0.25">
      <c r="A24" s="3" t="str">
        <f>IF('План'!$A24="","",'План'!$A24)</f>
        <v/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8">
        <f>SUM(B24:M24)</f>
        <v>0</v>
      </c>
    </row>
    <row r="25" spans="1:14" x14ac:dyDescent="0.25">
      <c r="A25" s="10" t="s">
        <v>17</v>
      </c>
      <c r="B25" s="11">
        <f>SUM(B13:B24)</f>
        <v>783200</v>
      </c>
      <c r="C25" s="11">
        <f>SUM(C13:C24)</f>
        <v>831000</v>
      </c>
      <c r="D25" s="11">
        <f>SUM(D13:D24)</f>
        <v>867800</v>
      </c>
      <c r="E25" s="11">
        <f>SUM(E13:E24)</f>
        <v>825300</v>
      </c>
      <c r="F25" s="11">
        <f>SUM(F13:F24)</f>
        <v>830800</v>
      </c>
      <c r="G25" s="11">
        <f>SUM(G13:G24)</f>
        <v>862000</v>
      </c>
      <c r="H25" s="11">
        <f>SUM(H13:H24)</f>
        <v>775000</v>
      </c>
      <c r="I25" s="11">
        <f>SUM(I13:I24)</f>
        <v>858900</v>
      </c>
      <c r="J25" s="11">
        <f>SUM(J13:J24)</f>
        <v>882800</v>
      </c>
      <c r="K25" s="11">
        <f>SUM(K13:K24)</f>
        <v>0</v>
      </c>
      <c r="L25" s="11">
        <f>SUM(L13:L24)</f>
        <v>0</v>
      </c>
      <c r="M25" s="11">
        <f>SUM(M13:M24)</f>
        <v>0</v>
      </c>
      <c r="N25" s="11">
        <f>SUM(N13:N24)</f>
        <v>7516800</v>
      </c>
    </row>
    <row r="27" spans="1:14" x14ac:dyDescent="0.25">
      <c r="A27" s="10" t="s">
        <v>18</v>
      </c>
      <c r="B27" s="11">
        <f>B11-B25</f>
        <v>23600</v>
      </c>
      <c r="C27" s="11">
        <f>C11-C25</f>
        <v>15700</v>
      </c>
      <c r="D27" s="11">
        <f>D11-D25</f>
        <v>44700</v>
      </c>
      <c r="E27" s="11">
        <f>E11-E25</f>
        <v>18200</v>
      </c>
      <c r="F27" s="11">
        <f>F11-F25</f>
        <v>52900</v>
      </c>
      <c r="G27" s="11">
        <f>G11-G25</f>
        <v>13600</v>
      </c>
      <c r="H27" s="11">
        <f>H11-H25</f>
        <v>12000</v>
      </c>
      <c r="I27" s="11">
        <f>I11-I25</f>
        <v>23400</v>
      </c>
      <c r="J27" s="11">
        <f>J11-J25</f>
        <v>67000</v>
      </c>
      <c r="K27" s="11">
        <f>K11-K25</f>
        <v>0</v>
      </c>
      <c r="L27" s="11">
        <f>L11-L25</f>
        <v>0</v>
      </c>
      <c r="M27" s="11">
        <f>M11-M25</f>
        <v>0</v>
      </c>
      <c r="N27" s="11">
        <f>N11-N25</f>
        <v>271100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7" width="17" customWidth="1"/>
    <col min="8" max="8" width="20" customWidth="1"/>
    <col min="9" max="9" width="15" customWidth="1"/>
  </cols>
  <sheetData>
    <row r="1" spans="1:1" x14ac:dyDescent="0.25">
      <c r="A1" s="1" t="s">
        <v>48</v>
      </c>
    </row>
    <row r="2" spans="1:1" x14ac:dyDescent="0.25">
      <c r="A2" s="2" t="s">
        <v>49</v>
      </c>
    </row>
    <row r="3" spans="1:9" x14ac:dyDescent="0.25">
      <c r="A3" s="6" t="s">
        <v>50</v>
      </c>
      <c r="B3" s="6" t="s">
        <v>51</v>
      </c>
      <c r="C3" s="6" t="s">
        <v>52</v>
      </c>
      <c r="D3" s="6" t="s">
        <v>53</v>
      </c>
      <c r="E3" s="6" t="s">
        <v>54</v>
      </c>
      <c r="F3" s="6" t="s">
        <v>55</v>
      </c>
      <c r="G3" s="6" t="s">
        <v>56</v>
      </c>
      <c r="H3" s="6" t="s">
        <v>57</v>
      </c>
      <c r="I3" s="6" t="s">
        <v>58</v>
      </c>
    </row>
    <row r="4" spans="1:9" x14ac:dyDescent="0.25">
      <c r="A4" s="3" t="s">
        <v>21</v>
      </c>
      <c r="B4" s="8">
        <f>'План'!B11</f>
        <v>875000</v>
      </c>
      <c r="C4" s="8">
        <f>IF(AND('Факт'!B11=0,'Факт'!B25=0),"",'Факт'!B11)</f>
        <v>806800</v>
      </c>
      <c r="D4" s="8">
        <f>'План'!B25</f>
        <v>821000</v>
      </c>
      <c r="E4" s="8">
        <f>IF(AND('Факт'!B11=0,'Факт'!B25=0),"",'Факт'!B25)</f>
        <v>783200</v>
      </c>
      <c r="F4" s="8">
        <f>B4-D4</f>
        <v>54000</v>
      </c>
      <c r="G4" s="8">
        <f>IF(AND('Факт'!B11=0,'Факт'!B25=0),"",'Факт'!B11-'Факт'!B25)</f>
        <v>23600</v>
      </c>
      <c r="H4" s="8">
        <f>IF(AND('Факт'!B11=0,'Факт'!B25=0),"",SUM($G$4:G4))</f>
        <v>23600</v>
      </c>
      <c r="I4" s="9">
        <f>IF(AND('Факт'!B11=0,'Факт'!B25=0),"",IF(D4=0,0,'Факт'!B25/D4))</f>
        <v>0.95395858709</v>
      </c>
    </row>
    <row r="5" spans="1:9" x14ac:dyDescent="0.25">
      <c r="A5" s="3" t="s">
        <v>22</v>
      </c>
      <c r="B5" s="8">
        <f>'План'!C11</f>
        <v>875000</v>
      </c>
      <c r="C5" s="8">
        <f>IF(AND('Факт'!C11=0,'Факт'!C25=0),"",'Факт'!C11)</f>
        <v>846700</v>
      </c>
      <c r="D5" s="8">
        <f>'План'!C25</f>
        <v>821000</v>
      </c>
      <c r="E5" s="8">
        <f>IF(AND('Факт'!C11=0,'Факт'!C25=0),"",'Факт'!C25)</f>
        <v>831000</v>
      </c>
      <c r="F5" s="8">
        <f>B5-D5</f>
        <v>54000</v>
      </c>
      <c r="G5" s="8">
        <f>IF(AND('Факт'!C11=0,'Факт'!C25=0),"",'Факт'!C11-'Факт'!C25)</f>
        <v>15700</v>
      </c>
      <c r="H5" s="8">
        <f>IF(AND('Факт'!C11=0,'Факт'!C25=0),"",SUM($G$4:G5))</f>
        <v>39300</v>
      </c>
      <c r="I5" s="9">
        <f>IF(AND('Факт'!C11=0,'Факт'!C25=0),"",IF(D5=0,0,'Факт'!C25/D5))</f>
        <v>1.012180268</v>
      </c>
    </row>
    <row r="6" spans="1:9" x14ac:dyDescent="0.25">
      <c r="A6" s="3" t="s">
        <v>23</v>
      </c>
      <c r="B6" s="8">
        <f>'План'!D11</f>
        <v>875000</v>
      </c>
      <c r="C6" s="8">
        <f>IF(AND('Факт'!D11=0,'Факт'!D25=0),"",'Факт'!D11)</f>
        <v>912500</v>
      </c>
      <c r="D6" s="8">
        <f>'План'!D25</f>
        <v>821000</v>
      </c>
      <c r="E6" s="8">
        <f>IF(AND('Факт'!D11=0,'Факт'!D25=0),"",'Факт'!D25)</f>
        <v>867800</v>
      </c>
      <c r="F6" s="8">
        <f>B6-D6</f>
        <v>54000</v>
      </c>
      <c r="G6" s="8">
        <f>IF(AND('Факт'!D11=0,'Факт'!D25=0),"",'Факт'!D11-'Факт'!D25)</f>
        <v>44700</v>
      </c>
      <c r="H6" s="8">
        <f>IF(AND('Факт'!D11=0,'Факт'!D25=0),"",SUM($G$4:G6))</f>
        <v>84000</v>
      </c>
      <c r="I6" s="9">
        <f>IF(AND('Факт'!D11=0,'Факт'!D25=0),"",IF(D6=0,0,'Факт'!D25/D6))</f>
        <v>1.0570036541</v>
      </c>
    </row>
    <row r="7" spans="1:9" x14ac:dyDescent="0.25">
      <c r="A7" s="3" t="s">
        <v>24</v>
      </c>
      <c r="B7" s="8">
        <f>'План'!E11</f>
        <v>875000</v>
      </c>
      <c r="C7" s="8">
        <f>IF(AND('Факт'!E11=0,'Факт'!E25=0),"",'Факт'!E11)</f>
        <v>843500</v>
      </c>
      <c r="D7" s="8">
        <f>'План'!E25</f>
        <v>821000</v>
      </c>
      <c r="E7" s="8">
        <f>IF(AND('Факт'!E11=0,'Факт'!E25=0),"",'Факт'!E25)</f>
        <v>825300</v>
      </c>
      <c r="F7" s="8">
        <f>B7-D7</f>
        <v>54000</v>
      </c>
      <c r="G7" s="8">
        <f>IF(AND('Факт'!E11=0,'Факт'!E25=0),"",'Факт'!E11-'Факт'!E25)</f>
        <v>18200</v>
      </c>
      <c r="H7" s="8">
        <f>IF(AND('Факт'!E11=0,'Факт'!E25=0),"",SUM($G$4:G7))</f>
        <v>102200</v>
      </c>
      <c r="I7" s="9">
        <f>IF(AND('Факт'!E11=0,'Факт'!E25=0),"",IF(D7=0,0,'Факт'!E25/D7))</f>
        <v>1.0052375152</v>
      </c>
    </row>
    <row r="8" spans="1:9" x14ac:dyDescent="0.25">
      <c r="A8" s="3" t="s">
        <v>25</v>
      </c>
      <c r="B8" s="8">
        <f>'План'!F11</f>
        <v>875000</v>
      </c>
      <c r="C8" s="8">
        <f>IF(AND('Факт'!F11=0,'Факт'!F25=0),"",'Факт'!F11)</f>
        <v>883700</v>
      </c>
      <c r="D8" s="8">
        <f>'План'!F25</f>
        <v>821000</v>
      </c>
      <c r="E8" s="8">
        <f>IF(AND('Факт'!F11=0,'Факт'!F25=0),"",'Факт'!F25)</f>
        <v>830800</v>
      </c>
      <c r="F8" s="8">
        <f>B8-D8</f>
        <v>54000</v>
      </c>
      <c r="G8" s="8">
        <f>IF(AND('Факт'!F11=0,'Факт'!F25=0),"",'Факт'!F11-'Факт'!F25)</f>
        <v>52900</v>
      </c>
      <c r="H8" s="8">
        <f>IF(AND('Факт'!F11=0,'Факт'!F25=0),"",SUM($G$4:G8))</f>
        <v>155100</v>
      </c>
      <c r="I8" s="9">
        <f>IF(AND('Факт'!F11=0,'Факт'!F25=0),"",IF(D8=0,0,'Факт'!F25/D8))</f>
        <v>1.0119366626</v>
      </c>
    </row>
    <row r="9" spans="1:9" x14ac:dyDescent="0.25">
      <c r="A9" s="3" t="s">
        <v>26</v>
      </c>
      <c r="B9" s="8">
        <f>'План'!G11</f>
        <v>875000</v>
      </c>
      <c r="C9" s="8">
        <f>IF(AND('Факт'!G11=0,'Факт'!G25=0),"",'Факт'!G11)</f>
        <v>875600</v>
      </c>
      <c r="D9" s="8">
        <f>'План'!G25</f>
        <v>821000</v>
      </c>
      <c r="E9" s="8">
        <f>IF(AND('Факт'!G11=0,'Факт'!G25=0),"",'Факт'!G25)</f>
        <v>862000</v>
      </c>
      <c r="F9" s="8">
        <f>B9-D9</f>
        <v>54000</v>
      </c>
      <c r="G9" s="8">
        <f>IF(AND('Факт'!G11=0,'Факт'!G25=0),"",'Факт'!G11-'Факт'!G25)</f>
        <v>13600</v>
      </c>
      <c r="H9" s="8">
        <f>IF(AND('Факт'!G11=0,'Факт'!G25=0),"",SUM($G$4:G9))</f>
        <v>168700</v>
      </c>
      <c r="I9" s="9">
        <f>IF(AND('Факт'!G11=0,'Факт'!G25=0),"",IF(D9=0,0,'Факт'!G25/D9))</f>
        <v>1.0499390987</v>
      </c>
    </row>
    <row r="10" spans="1:9" x14ac:dyDescent="0.25">
      <c r="A10" s="3" t="s">
        <v>27</v>
      </c>
      <c r="B10" s="8">
        <f>'План'!H11</f>
        <v>875000</v>
      </c>
      <c r="C10" s="8">
        <f>IF(AND('Факт'!H11=0,'Факт'!H25=0),"",'Факт'!H11)</f>
        <v>787000</v>
      </c>
      <c r="D10" s="8">
        <f>'План'!H25</f>
        <v>821000</v>
      </c>
      <c r="E10" s="8">
        <f>IF(AND('Факт'!H11=0,'Факт'!H25=0),"",'Факт'!H25)</f>
        <v>775000</v>
      </c>
      <c r="F10" s="8">
        <f>B10-D10</f>
        <v>54000</v>
      </c>
      <c r="G10" s="8">
        <f>IF(AND('Факт'!H11=0,'Факт'!H25=0),"",'Факт'!H11-'Факт'!H25)</f>
        <v>12000</v>
      </c>
      <c r="H10" s="8">
        <f>IF(AND('Факт'!H11=0,'Факт'!H25=0),"",SUM($G$4:G10))</f>
        <v>180700</v>
      </c>
      <c r="I10" s="9">
        <f>IF(AND('Факт'!H11=0,'Факт'!H25=0),"",IF(D10=0,0,'Факт'!H25/D10))</f>
        <v>0.94397076736</v>
      </c>
    </row>
    <row r="11" spans="1:9" x14ac:dyDescent="0.25">
      <c r="A11" s="3" t="s">
        <v>28</v>
      </c>
      <c r="B11" s="8">
        <f>'План'!I11</f>
        <v>875000</v>
      </c>
      <c r="C11" s="8">
        <f>IF(AND('Факт'!I11=0,'Факт'!I25=0),"",'Факт'!I11)</f>
        <v>882300</v>
      </c>
      <c r="D11" s="8">
        <f>'План'!I25</f>
        <v>821000</v>
      </c>
      <c r="E11" s="8">
        <f>IF(AND('Факт'!I11=0,'Факт'!I25=0),"",'Факт'!I25)</f>
        <v>858900</v>
      </c>
      <c r="F11" s="8">
        <f>B11-D11</f>
        <v>54000</v>
      </c>
      <c r="G11" s="8">
        <f>IF(AND('Факт'!I11=0,'Факт'!I25=0),"",'Факт'!I11-'Факт'!I25)</f>
        <v>23400</v>
      </c>
      <c r="H11" s="8">
        <f>IF(AND('Факт'!I11=0,'Факт'!I25=0),"",SUM($G$4:G11))</f>
        <v>204100</v>
      </c>
      <c r="I11" s="9">
        <f>IF(AND('Факт'!I11=0,'Факт'!I25=0),"",IF(D11=0,0,'Факт'!I25/D11))</f>
        <v>1.0461632156</v>
      </c>
    </row>
    <row r="12" spans="1:9" x14ac:dyDescent="0.25">
      <c r="A12" s="3" t="s">
        <v>29</v>
      </c>
      <c r="B12" s="8">
        <f>'План'!J11</f>
        <v>875000</v>
      </c>
      <c r="C12" s="8">
        <f>IF(AND('Факт'!J11=0,'Факт'!J25=0),"",'Факт'!J11)</f>
        <v>949800</v>
      </c>
      <c r="D12" s="8">
        <f>'План'!J25</f>
        <v>821000</v>
      </c>
      <c r="E12" s="8">
        <f>IF(AND('Факт'!J11=0,'Факт'!J25=0),"",'Факт'!J25)</f>
        <v>882800</v>
      </c>
      <c r="F12" s="8">
        <f>B12-D12</f>
        <v>54000</v>
      </c>
      <c r="G12" s="8">
        <f>IF(AND('Факт'!J11=0,'Факт'!J25=0),"",'Факт'!J11-'Факт'!J25)</f>
        <v>67000</v>
      </c>
      <c r="H12" s="8">
        <f>IF(AND('Факт'!J11=0,'Факт'!J25=0),"",SUM($G$4:G12))</f>
        <v>271100</v>
      </c>
      <c r="I12" s="9">
        <f>IF(AND('Факт'!J11=0,'Факт'!J25=0),"",IF(D12=0,0,'Факт'!J25/D12))</f>
        <v>1.075274056</v>
      </c>
    </row>
    <row r="13" spans="1:9" x14ac:dyDescent="0.25">
      <c r="A13" s="3" t="s">
        <v>30</v>
      </c>
      <c r="B13" s="8">
        <f>'План'!K11</f>
        <v>875000</v>
      </c>
      <c r="C13" s="8" t="str">
        <f>IF(AND('Факт'!K11=0,'Факт'!K25=0),"",'Факт'!K11)</f>
        <v/>
      </c>
      <c r="D13" s="8">
        <f>'План'!K25</f>
        <v>821000</v>
      </c>
      <c r="E13" s="8" t="str">
        <f>IF(AND('Факт'!K11=0,'Факт'!K25=0),"",'Факт'!K25)</f>
        <v/>
      </c>
      <c r="F13" s="8">
        <f>B13-D13</f>
        <v>54000</v>
      </c>
      <c r="G13" s="8" t="str">
        <f>IF(AND('Факт'!K11=0,'Факт'!K25=0),"",'Факт'!K11-'Факт'!K25)</f>
        <v/>
      </c>
      <c r="H13" s="8" t="str">
        <f>IF(AND('Факт'!K11=0,'Факт'!K25=0),"",SUM($G$4:G13))</f>
        <v/>
      </c>
      <c r="I13" s="9" t="str">
        <f>IF(AND('Факт'!K11=0,'Факт'!K25=0),"",IF(D13=0,0,'Факт'!K25/D13))</f>
        <v/>
      </c>
    </row>
    <row r="14" spans="1:9" x14ac:dyDescent="0.25">
      <c r="A14" s="3" t="s">
        <v>31</v>
      </c>
      <c r="B14" s="8">
        <f>'План'!L11</f>
        <v>875000</v>
      </c>
      <c r="C14" s="8" t="str">
        <f>IF(AND('Факт'!L11=0,'Факт'!L25=0),"",'Факт'!L11)</f>
        <v/>
      </c>
      <c r="D14" s="8">
        <f>'План'!L25</f>
        <v>821000</v>
      </c>
      <c r="E14" s="8" t="str">
        <f>IF(AND('Факт'!L11=0,'Факт'!L25=0),"",'Факт'!L25)</f>
        <v/>
      </c>
      <c r="F14" s="8">
        <f>B14-D14</f>
        <v>54000</v>
      </c>
      <c r="G14" s="8" t="str">
        <f>IF(AND('Факт'!L11=0,'Факт'!L25=0),"",'Факт'!L11-'Факт'!L25)</f>
        <v/>
      </c>
      <c r="H14" s="8" t="str">
        <f>IF(AND('Факт'!L11=0,'Факт'!L25=0),"",SUM($G$4:G14))</f>
        <v/>
      </c>
      <c r="I14" s="9" t="str">
        <f>IF(AND('Факт'!L11=0,'Факт'!L25=0),"",IF(D14=0,0,'Факт'!L25/D14))</f>
        <v/>
      </c>
    </row>
    <row r="15" spans="1:9" x14ac:dyDescent="0.25">
      <c r="A15" s="3" t="s">
        <v>32</v>
      </c>
      <c r="B15" s="8">
        <f>'План'!M11</f>
        <v>875000</v>
      </c>
      <c r="C15" s="8" t="str">
        <f>IF(AND('Факт'!M11=0,'Факт'!M25=0),"",'Факт'!M11)</f>
        <v/>
      </c>
      <c r="D15" s="8">
        <f>'План'!M25</f>
        <v>821000</v>
      </c>
      <c r="E15" s="8" t="str">
        <f>IF(AND('Факт'!M11=0,'Факт'!M25=0),"",'Факт'!M25)</f>
        <v/>
      </c>
      <c r="F15" s="8">
        <f>B15-D15</f>
        <v>54000</v>
      </c>
      <c r="G15" s="8" t="str">
        <f>IF(AND('Факт'!M11=0,'Факт'!M25=0),"",'Факт'!M11-'Факт'!M25)</f>
        <v/>
      </c>
      <c r="H15" s="8" t="str">
        <f>IF(AND('Факт'!M11=0,'Факт'!M25=0),"",SUM($G$4:G15))</f>
        <v/>
      </c>
      <c r="I15" s="9" t="str">
        <f>IF(AND('Факт'!M11=0,'Факт'!M25=0),"",IF(D15=0,0,'Факт'!M25/D15))</f>
        <v/>
      </c>
    </row>
    <row r="16" spans="1:9" x14ac:dyDescent="0.25">
      <c r="A16" s="10" t="s">
        <v>59</v>
      </c>
      <c r="B16" s="11">
        <f>SUM(B4:B15)</f>
        <v>10500000</v>
      </c>
      <c r="C16" s="11">
        <f>SUM(C4:C15)</f>
        <v>7787900</v>
      </c>
      <c r="D16" s="11">
        <f>SUM(D4:D15)</f>
        <v>9852000</v>
      </c>
      <c r="E16" s="11">
        <f>SUM(E4:E15)</f>
        <v>7516800</v>
      </c>
      <c r="F16" s="11">
        <f>SUM(F4:F15)</f>
        <v>648000</v>
      </c>
      <c r="G16" s="11">
        <f>SUM(G4:G15)</f>
        <v>271100</v>
      </c>
      <c r="H16" s="10"/>
      <c r="I16" s="12">
        <f>IF(SUMIF(E4:E15,"&gt;0",D4:D15)=0,0,E16/SUMIF(E4:E15,"&gt;0",D4:D15))</f>
        <v>1.0172959805</v>
      </c>
    </row>
  </sheetData>
  <conditionalFormatting sqref="G4:G15">
    <cfRule type="expression" dxfId="2" priority="1">
      <formula>AND(G4&lt;&gt;"",G4&lt;0)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Анализ</vt:lpstr>
      <vt:lpstr>План</vt:lpstr>
      <vt:lpstr>Факт</vt:lpstr>
      <vt:lpstr>Динамика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План-факт бюджета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