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</sheets>
  <calcPr calcId="171027" fullCalcOnLoad="1"/>
</workbook>
</file>

<file path=xl/sharedStrings.xml><?xml version="1.0" encoding="utf-8"?>
<sst xmlns="http://schemas.openxmlformats.org/spreadsheetml/2006/main" count="30" uniqueCount="30">
  <si>
    <t>Debt register</t>
  </si>
  <si>
    <t>Yellow cells are yours, formulas compute the rest. Order 1 is the debt to attack first.</t>
  </si>
  <si>
    <t>Monthly income, after tax</t>
  </si>
  <si>
    <t>Total debt</t>
  </si>
  <si>
    <t>Spare money for debt, a month</t>
  </si>
  <si>
    <t>Weighted average rate</t>
  </si>
  <si>
    <t>Payments a month</t>
  </si>
  <si>
    <t>Of which interest</t>
  </si>
  <si>
    <t>Debt load (payments to income)</t>
  </si>
  <si>
    <t>Which is</t>
  </si>
  <si>
    <t>Attack first: avalanche</t>
  </si>
  <si>
    <t>Attack first: snowball</t>
  </si>
  <si>
    <t>Debt</t>
  </si>
  <si>
    <t>Balance</t>
  </si>
  <si>
    <t>Rate</t>
  </si>
  <si>
    <t>Monthly payment</t>
  </si>
  <si>
    <t>Interest a month</t>
  </si>
  <si>
    <t>Share</t>
  </si>
  <si>
    <t>Months left</t>
  </si>
  <si>
    <t>Interest to pay ≈</t>
  </si>
  <si>
    <t>Order: avalanche</t>
  </si>
  <si>
    <t>Order: snowball</t>
  </si>
  <si>
    <t>Months with the extra</t>
  </si>
  <si>
    <t>Interest saved ≈</t>
  </si>
  <si>
    <t>Mortgage</t>
  </si>
  <si>
    <t>Car loan</t>
  </si>
  <si>
    <t>Credit card</t>
  </si>
  <si>
    <t>Personal loan</t>
  </si>
  <si>
    <t>Instalment plan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</si>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</sst>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0" fontId="3" fillId="0" borderId="0" xfId="0" applyNumberFormat="1" applyFont="1"/>
    <xf numFmtId="164" fontId="3" fillId="0" borderId="0" xfId="0" applyNumberFormat="1" applyFont="1"/>
    <xf numFmtId="10" fontId="4" fillId="3" borderId="2" xfId="0" applyNumberFormat="1" applyFont="1" applyFill="1" applyBorder="1"/>
    <xf numFmtId="0" fontId="5" fillId="4" borderId="0" xfId="0" applyFont="1" applyFill="1" applyAlignment="1">
      <alignment horizontal="center" vertical="center" wrapText="1"/>
    </xf>
    <xf numFmtId="0" fontId="3" fillId="2" borderId="1" xfId="0" applyFont="1" applyFill="1" applyBorder="1"/>
    <xf numFmtId="10" fontId="3" fillId="2" borderId="1" xfId="0" applyNumberFormat="1" applyFont="1" applyFill="1" applyBorder="1"/>
    <xf numFmtId="3" fontId="3" fillId="0" borderId="0" xfId="0" applyNumberFormat="1" applyFont="1"/>
    <xf numFmtId="0" fontId="4" fillId="3" borderId="2" xfId="0" applyFont="1" applyFill="1" applyBorder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7A5A0B"/>
      </font>
      <fill>
        <patternFill patternType="solid">
          <bgColor rgb="FFFCEB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xSplit="1" ySplit="13" topLeftCell="B1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1" customWidth="1"/>
    <col min="4" max="5" width="17" customWidth="1"/>
    <col min="7" max="7" width="13" customWidth="1"/>
    <col min="8" max="8" width="18" customWidth="1"/>
    <col min="9" max="10" width="10" customWidth="1"/>
    <col min="11" max="11" width="13" customWidth="1"/>
    <col min="12" max="12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215000</v>
      </c>
      <c r="E4" s="3" t="s">
        <v>3</v>
      </c>
      <c r="H4" s="5">
        <f>B26</f>
        <v>4937000</v>
      </c>
    </row>
    <row r="5" spans="1:8" x14ac:dyDescent="0.25">
      <c r="A5" s="3" t="s">
        <v>4</v>
      </c>
      <c r="C5" s="4">
        <v>15000</v>
      </c>
      <c r="E5" s="3" t="s">
        <v>5</v>
      </c>
      <c r="H5" s="6">
        <f>IF(H4=0,0,E26*12/H4)</f>
        <v>0.1132908649</v>
      </c>
    </row>
    <row r="6" spans="5:8" x14ac:dyDescent="0.25">
      <c r="E6" s="3" t="s">
        <v>6</v>
      </c>
      <c r="H6" s="7">
        <f>D26</f>
        <v>93500</v>
      </c>
    </row>
    <row r="7" spans="5:8" x14ac:dyDescent="0.25">
      <c r="E7" s="3" t="s">
        <v>7</v>
      </c>
      <c r="H7" s="7">
        <f>E26</f>
        <v>46609.75</v>
      </c>
    </row>
    <row r="8" spans="5:8" x14ac:dyDescent="0.25">
      <c r="E8" s="3" t="s">
        <v>8</v>
      </c>
      <c r="H8" s="8">
        <f>IF($C$4+0=0,0,H6/$C$4)</f>
        <v>0.43488372093</v>
      </c>
    </row>
    <row r="9" spans="5:8" x14ac:dyDescent="0.25">
      <c r="E9" s="3" t="s">
        <v>9</v>
      </c>
      <c r="H9" s="3" t="str">
        <f>IF(H8&gt;0.5,"High",IF(H8&gt;0.3,"Moderate","Comfortable"))</f>
        <v>Moderate</v>
      </c>
    </row>
    <row r="10" spans="5:8" x14ac:dyDescent="0.25">
      <c r="E10" s="3" t="s">
        <v>10</v>
      </c>
      <c r="H10" s="3" t="str">
        <f>IFERROR(INDEX($A$14:$A$25,MATCH(1,$I$14:$I$25,0)),"")</f>
        <v>Credit card</v>
      </c>
    </row>
    <row r="11" spans="5:8" x14ac:dyDescent="0.25">
      <c r="E11" s="3" t="s">
        <v>11</v>
      </c>
      <c r="H11" s="3" t="str">
        <f>IFERROR(INDEX($A$14:$A$25,MATCH(1,$J$14:$J$25,0)),"")</f>
        <v>Instalment plan</v>
      </c>
    </row>
    <row r="13" spans="1:12" x14ac:dyDescent="0.25">
      <c r="A13" s="9" t="s">
        <v>12</v>
      </c>
      <c r="B13" s="9" t="s">
        <v>13</v>
      </c>
      <c r="C13" s="9" t="s">
        <v>14</v>
      </c>
      <c r="D13" s="9" t="s">
        <v>15</v>
      </c>
      <c r="E13" s="9" t="s">
        <v>16</v>
      </c>
      <c r="F13" s="9" t="s">
        <v>17</v>
      </c>
      <c r="G13" s="9" t="s">
        <v>18</v>
      </c>
      <c r="H13" s="9" t="s">
        <v>19</v>
      </c>
      <c r="I13" s="9" t="s">
        <v>20</v>
      </c>
      <c r="J13" s="9" t="s">
        <v>21</v>
      </c>
      <c r="K13" s="9" t="s">
        <v>22</v>
      </c>
      <c r="L13" s="9" t="s">
        <v>23</v>
      </c>
    </row>
    <row r="14" spans="1:12" x14ac:dyDescent="0.25">
      <c r="A14" s="10" t="s">
        <v>24</v>
      </c>
      <c r="B14" s="4">
        <v>3850000</v>
      </c>
      <c r="C14" s="11">
        <v>0.089</v>
      </c>
      <c r="D14" s="4">
        <v>41200</v>
      </c>
      <c r="E14" s="7">
        <f>IF($A14="","",ROUND(B14*(C14+0)/12,2))</f>
        <v>28554.17</v>
      </c>
      <c r="F14" s="6">
        <f>IF($A14="","",IF($B$26=0,0,B14/$B$26))</f>
        <v>0.77982580514</v>
      </c>
      <c r="G14" s="12">
        <f>IF($A14="","",IF(D14&lt;=ROUND(B14*(C14+0)/12,2),"",IF((C14+0)=0,ROUNDUP(B14/D14,0),ROUNDUP(NPER((C14+0)/12,-D14,B14),0))))</f>
        <v>160</v>
      </c>
      <c r="H14" s="7">
        <f>IF($A14="","",IF(D14&lt;=ROUND(B14*(C14+0)/12,2),"",IF((C14+0)=0,0,ROUND(NPER((C14+0)/12,-D14,B14)*D14-B14,2))))</f>
        <v>2735435.96</v>
      </c>
      <c r="I14" s="12">
        <f>IF($A14="","",COUNTIF($C$14:$C$25,"&gt;"&amp;(C14+0))+COUNTIF($C$14:C14,(C14+0)))</f>
        <v>4</v>
      </c>
      <c r="J14" s="12">
        <f>IF($A14="","",COUNTIF($B$14:$B$25,"&lt;"&amp;B14)+COUNTIF($B$14:B14,B14))</f>
        <v>5</v>
      </c>
      <c r="K14" s="12">
        <f>IF($A14="","",IF((D14+$C$5)&lt;=ROUND(B14*(C14+0)/12,2),"",IF((C14+0)=0,ROUNDUP(B14/(D14+$C$5),0),ROUNDUP(NPER((C14+0)/12,-(D14+$C$5),B14),0))))</f>
        <v>97</v>
      </c>
      <c r="L14" s="7">
        <f>IF($A14="","",IF(OR(H14="",(C14+0)=0),0,MAX(0,H14-IF((D14+$C$5)&lt;=ROUND(B14*(C14+0)/12,2),"",IF((C14+0)=0,0,ROUND(NPER((C14+0)/12,-(D14+$C$5),B14)*(D14+$C$5)-B14,2))))))</f>
        <v>1189710.54</v>
      </c>
    </row>
    <row r="15" spans="1:12" x14ac:dyDescent="0.25">
      <c r="A15" s="10" t="s">
        <v>25</v>
      </c>
      <c r="B15" s="4">
        <v>620000</v>
      </c>
      <c r="C15" s="11">
        <v>0.164</v>
      </c>
      <c r="D15" s="4">
        <v>21900</v>
      </c>
      <c r="E15" s="7">
        <f>IF($A15="","",ROUND(B15*(C15+0)/12,2))</f>
        <v>8473.33</v>
      </c>
      <c r="F15" s="6">
        <f>IF($A15="","",IF($B$26=0,0,B15/$B$26))</f>
        <v>0.12558233745</v>
      </c>
      <c r="G15" s="12">
        <f>IF($A15="","",IF(D15&lt;=ROUND(B15*(C15+0)/12,2),"",IF((C15+0)=0,ROUNDUP(B15/D15,0),ROUNDUP(NPER((C15+0)/12,-D15,B15),0))))</f>
        <v>37</v>
      </c>
      <c r="H15" s="7">
        <f>IF($A15="","",IF(D15&lt;=ROUND(B15*(C15+0)/12,2),"",IF((C15+0)=0,0,ROUND(NPER((C15+0)/12,-D15,B15)*D15-B15,2))))</f>
        <v>169328.55</v>
      </c>
      <c r="I15" s="12">
        <f>IF($A15="","",COUNTIF($C$14:$C$25,"&gt;"&amp;(C15+0))+COUNTIF($C$14:C15,(C15+0)))</f>
        <v>3</v>
      </c>
      <c r="J15" s="12">
        <f>IF($A15="","",COUNTIF($B$14:$B$25,"&lt;"&amp;B15)+COUNTIF($B$14:B15,B15))</f>
        <v>4</v>
      </c>
      <c r="K15" s="12">
        <f>IF($A15="","",IF((D15+$C$5)&lt;=ROUND(B15*(C15+0)/12,2),"",IF((C15+0)=0,ROUNDUP(B15/(D15+$C$5),0),ROUNDUP(NPER((C15+0)/12,-(D15+$C$5),B15),0))))</f>
        <v>20</v>
      </c>
      <c r="L15" s="7">
        <f>IF($A15="","",IF(OR(H15="",(C15+0)=0),0,MAX(0,H15-IF((D15+$C$5)&lt;=ROUND(B15*(C15+0)/12,2),"",IF((C15+0)=0,0,ROUND(NPER((C15+0)/12,-(D15+$C$5),B15)*(D15+$C$5)-B15,2))))))</f>
        <v>80139.66</v>
      </c>
    </row>
    <row r="16" spans="1:12" x14ac:dyDescent="0.25">
      <c r="A16" s="10" t="s">
        <v>26</v>
      </c>
      <c r="B16" s="4">
        <v>148000</v>
      </c>
      <c r="C16" s="11">
        <v>0.349</v>
      </c>
      <c r="D16" s="4">
        <v>9000</v>
      </c>
      <c r="E16" s="7">
        <f>IF($A16="","",ROUND(B16*(C16+0)/12,2))</f>
        <v>4304.33</v>
      </c>
      <c r="F16" s="6">
        <f>IF($A16="","",IF($B$26=0,0,B16/$B$26))</f>
        <v>0.029977719263</v>
      </c>
      <c r="G16" s="12">
        <f>IF($A16="","",IF(D16&lt;=ROUND(B16*(C16+0)/12,2),"",IF((C16+0)=0,ROUNDUP(B16/D16,0),ROUNDUP(NPER((C16+0)/12,-D16,B16),0))))</f>
        <v>23</v>
      </c>
      <c r="H16" s="7">
        <f>IF($A16="","",IF(D16&lt;=ROUND(B16*(C16+0)/12,2),"",IF((C16+0)=0,0,ROUND(NPER((C16+0)/12,-D16,B16)*D16-B16,2))))</f>
        <v>56240.64</v>
      </c>
      <c r="I16" s="12">
        <f>IF($A16="","",COUNTIF($C$14:$C$25,"&gt;"&amp;(C16+0))+COUNTIF($C$14:C16,(C16+0)))</f>
        <v>1</v>
      </c>
      <c r="J16" s="12">
        <f>IF($A16="","",COUNTIF($B$14:$B$25,"&lt;"&amp;B16)+COUNTIF($B$14:B16,B16))</f>
        <v>2</v>
      </c>
      <c r="K16" s="12">
        <f>IF($A16="","",IF((D16+$C$5)&lt;=ROUND(B16*(C16+0)/12,2),"",IF((C16+0)=0,ROUNDUP(B16/(D16+$C$5),0),ROUNDUP(NPER((C16+0)/12,-(D16+$C$5),B16),0))))</f>
        <v>7</v>
      </c>
      <c r="L16" s="7">
        <f>IF($A16="","",IF(OR(H16="",(C16+0)=0),0,MAX(0,H16-IF((D16+$C$5)&lt;=ROUND(B16*(C16+0)/12,2),"",IF((C16+0)=0,0,ROUND(NPER((C16+0)/12,-(D16+$C$5),B16)*(D16+$C$5)-B16,2))))))</f>
        <v>38772.11</v>
      </c>
    </row>
    <row r="17" spans="1:12" x14ac:dyDescent="0.25">
      <c r="A17" s="10" t="s">
        <v>27</v>
      </c>
      <c r="B17" s="4">
        <v>265000</v>
      </c>
      <c r="C17" s="11">
        <v>0.239</v>
      </c>
      <c r="D17" s="4">
        <v>12400</v>
      </c>
      <c r="E17" s="7">
        <f>IF($A17="","",ROUND(B17*(C17+0)/12,2))</f>
        <v>5277.92</v>
      </c>
      <c r="F17" s="6">
        <f>IF($A17="","",IF($B$26=0,0,B17/$B$26))</f>
        <v>0.053676321653</v>
      </c>
      <c r="G17" s="12">
        <f>IF($A17="","",IF(D17&lt;=ROUND(B17*(C17+0)/12,2),"",IF((C17+0)=0,ROUNDUP(B17/D17,0),ROUNDUP(NPER((C17+0)/12,-D17,B17),0))))</f>
        <v>29</v>
      </c>
      <c r="H17" s="7">
        <f>IF($A17="","",IF(D17&lt;=ROUND(B17*(C17+0)/12,2),"",IF((C17+0)=0,0,ROUND(NPER((C17+0)/12,-D17,B17)*D17-B17,2))))</f>
        <v>83652.65</v>
      </c>
      <c r="I17" s="12">
        <f>IF($A17="","",COUNTIF($C$14:$C$25,"&gt;"&amp;(C17+0))+COUNTIF($C$14:C17,(C17+0)))</f>
        <v>2</v>
      </c>
      <c r="J17" s="12">
        <f>IF($A17="","",COUNTIF($B$14:$B$25,"&lt;"&amp;B17)+COUNTIF($B$14:B17,B17))</f>
        <v>3</v>
      </c>
      <c r="K17" s="12">
        <f>IF($A17="","",IF((D17+$C$5)&lt;=ROUND(B17*(C17+0)/12,2),"",IF((C17+0)=0,ROUNDUP(B17/(D17+$C$5),0),ROUNDUP(NPER((C17+0)/12,-(D17+$C$5),B17),0))))</f>
        <v>11</v>
      </c>
      <c r="L17" s="7">
        <f>IF($A17="","",IF(OR(H17="",(C17+0)=0),0,MAX(0,H17-IF((D17+$C$5)&lt;=ROUND(B17*(C17+0)/12,2),"",IF((C17+0)=0,0,ROUND(NPER((C17+0)/12,-(D17+$C$5),B17)*(D17+$C$5)-B17,2))))))</f>
        <v>51370.12</v>
      </c>
    </row>
    <row r="18" spans="1:12" x14ac:dyDescent="0.25">
      <c r="A18" s="10" t="s">
        <v>28</v>
      </c>
      <c r="B18" s="4">
        <v>54000</v>
      </c>
      <c r="C18" s="11">
        <v>0</v>
      </c>
      <c r="D18" s="4">
        <v>9000</v>
      </c>
      <c r="E18" s="7">
        <f>IF($A18="","",ROUND(B18*(C18+0)/12,2))</f>
        <v>0</v>
      </c>
      <c r="F18" s="6">
        <f>IF($A18="","",IF($B$26=0,0,B18/$B$26))</f>
        <v>0.010937816488</v>
      </c>
      <c r="G18" s="12">
        <f>IF($A18="","",IF(D18&lt;=ROUND(B18*(C18+0)/12,2),"",IF((C18+0)=0,ROUNDUP(B18/D18,0),ROUNDUP(NPER((C18+0)/12,-D18,B18),0))))</f>
        <v>6</v>
      </c>
      <c r="H18" s="7">
        <f>IF($A18="","",IF(D18&lt;=ROUND(B18*(C18+0)/12,2),"",IF((C18+0)=0,0,ROUND(NPER((C18+0)/12,-D18,B18)*D18-B18,2))))</f>
        <v>0</v>
      </c>
      <c r="I18" s="12">
        <f>IF($A18="","",COUNTIF($C$14:$C$25,"&gt;"&amp;(C18+0))+COUNTIF($C$14:C18,(C18+0)))</f>
        <v>5</v>
      </c>
      <c r="J18" s="12">
        <f>IF($A18="","",COUNTIF($B$14:$B$25,"&lt;"&amp;B18)+COUNTIF($B$14:B18,B18))</f>
        <v>1</v>
      </c>
      <c r="K18" s="12">
        <f>IF($A18="","",IF((D18+$C$5)&lt;=ROUND(B18*(C18+0)/12,2),"",IF((C18+0)=0,ROUNDUP(B18/(D18+$C$5),0),ROUNDUP(NPER((C18+0)/12,-(D18+$C$5),B18),0))))</f>
        <v>3</v>
      </c>
      <c r="L18" s="7">
        <f>IF($A18="","",IF(OR(H18="",(C18+0)=0),0,MAX(0,H18-IF((D18+$C$5)&lt;=ROUND(B18*(C18+0)/12,2),"",IF((C18+0)=0,0,ROUND(NPER((C18+0)/12,-(D18+$C$5),B18)*(D18+$C$5)-B18,2))))))</f>
        <v>0</v>
      </c>
    </row>
    <row r="19" spans="1:12" x14ac:dyDescent="0.25">
      <c r="A19" s="10"/>
      <c r="B19" s="4"/>
      <c r="C19" s="11"/>
      <c r="D19" s="4"/>
      <c r="E19" s="7" t="str">
        <f>IF($A19="","",ROUND(B19*(C19+0)/12,2))</f>
        <v/>
      </c>
      <c r="F19" s="6" t="str">
        <f>IF($A19="","",IF($B$26=0,0,B19/$B$26))</f>
        <v/>
      </c>
      <c r="G19" s="12" t="str">
        <f>IF($A19="","",IF(D19&lt;=ROUND(B19*(C19+0)/12,2),"",IF((C19+0)=0,ROUNDUP(B19/D19,0),ROUNDUP(NPER((C19+0)/12,-D19,B19),0))))</f>
        <v/>
      </c>
      <c r="H19" s="7" t="str">
        <f>IF($A19="","",IF(D19&lt;=ROUND(B19*(C19+0)/12,2),"",IF((C19+0)=0,0,ROUND(NPER((C19+0)/12,-D19,B19)*D19-B19,2))))</f>
        <v/>
      </c>
      <c r="I19" s="12" t="str">
        <f>IF($A19="","",COUNTIF($C$14:$C$25,"&gt;"&amp;(C19+0))+COUNTIF($C$14:C19,(C19+0)))</f>
        <v/>
      </c>
      <c r="J19" s="12" t="str">
        <f>IF($A19="","",COUNTIF($B$14:$B$25,"&lt;"&amp;B19)+COUNTIF($B$14:B19,B19))</f>
        <v/>
      </c>
      <c r="K19" s="12" t="str">
        <f>IF($A19="","",IF((D19+$C$5)&lt;=ROUND(B19*(C19+0)/12,2),"",IF((C19+0)=0,ROUNDUP(B19/(D19+$C$5),0),ROUNDUP(NPER((C19+0)/12,-(D19+$C$5),B19),0))))</f>
        <v/>
      </c>
      <c r="L19" s="7" t="str">
        <f>IF($A19="","",IF(OR(H19="",(C19+0)=0),0,MAX(0,H19-IF((D19+$C$5)&lt;=ROUND(B19*(C19+0)/12,2),"",IF((C19+0)=0,0,ROUND(NPER((C19+0)/12,-(D19+$C$5),B19)*(D19+$C$5)-B19,2))))))</f>
        <v/>
      </c>
    </row>
    <row r="20" spans="1:12" x14ac:dyDescent="0.25">
      <c r="A20" s="10"/>
      <c r="B20" s="4"/>
      <c r="C20" s="11"/>
      <c r="D20" s="4"/>
      <c r="E20" s="7" t="str">
        <f>IF($A20="","",ROUND(B20*(C20+0)/12,2))</f>
        <v/>
      </c>
      <c r="F20" s="6" t="str">
        <f>IF($A20="","",IF($B$26=0,0,B20/$B$26))</f>
        <v/>
      </c>
      <c r="G20" s="12" t="str">
        <f>IF($A20="","",IF(D20&lt;=ROUND(B20*(C20+0)/12,2),"",IF((C20+0)=0,ROUNDUP(B20/D20,0),ROUNDUP(NPER((C20+0)/12,-D20,B20),0))))</f>
        <v/>
      </c>
      <c r="H20" s="7" t="str">
        <f>IF($A20="","",IF(D20&lt;=ROUND(B20*(C20+0)/12,2),"",IF((C20+0)=0,0,ROUND(NPER((C20+0)/12,-D20,B20)*D20-B20,2))))</f>
        <v/>
      </c>
      <c r="I20" s="12" t="str">
        <f>IF($A20="","",COUNTIF($C$14:$C$25,"&gt;"&amp;(C20+0))+COUNTIF($C$14:C20,(C20+0)))</f>
        <v/>
      </c>
      <c r="J20" s="12" t="str">
        <f>IF($A20="","",COUNTIF($B$14:$B$25,"&lt;"&amp;B20)+COUNTIF($B$14:B20,B20))</f>
        <v/>
      </c>
      <c r="K20" s="12" t="str">
        <f>IF($A20="","",IF((D20+$C$5)&lt;=ROUND(B20*(C20+0)/12,2),"",IF((C20+0)=0,ROUNDUP(B20/(D20+$C$5),0),ROUNDUP(NPER((C20+0)/12,-(D20+$C$5),B20),0))))</f>
        <v/>
      </c>
      <c r="L20" s="7" t="str">
        <f>IF($A20="","",IF(OR(H20="",(C20+0)=0),0,MAX(0,H20-IF((D20+$C$5)&lt;=ROUND(B20*(C20+0)/12,2),"",IF((C20+0)=0,0,ROUND(NPER((C20+0)/12,-(D20+$C$5),B20)*(D20+$C$5)-B20,2))))))</f>
        <v/>
      </c>
    </row>
    <row r="21" spans="1:12" x14ac:dyDescent="0.25">
      <c r="A21" s="10"/>
      <c r="B21" s="4"/>
      <c r="C21" s="11"/>
      <c r="D21" s="4"/>
      <c r="E21" s="7" t="str">
        <f>IF($A21="","",ROUND(B21*(C21+0)/12,2))</f>
        <v/>
      </c>
      <c r="F21" s="6" t="str">
        <f>IF($A21="","",IF($B$26=0,0,B21/$B$26))</f>
        <v/>
      </c>
      <c r="G21" s="12" t="str">
        <f>IF($A21="","",IF(D21&lt;=ROUND(B21*(C21+0)/12,2),"",IF((C21+0)=0,ROUNDUP(B21/D21,0),ROUNDUP(NPER((C21+0)/12,-D21,B21),0))))</f>
        <v/>
      </c>
      <c r="H21" s="7" t="str">
        <f>IF($A21="","",IF(D21&lt;=ROUND(B21*(C21+0)/12,2),"",IF((C21+0)=0,0,ROUND(NPER((C21+0)/12,-D21,B21)*D21-B21,2))))</f>
        <v/>
      </c>
      <c r="I21" s="12" t="str">
        <f>IF($A21="","",COUNTIF($C$14:$C$25,"&gt;"&amp;(C21+0))+COUNTIF($C$14:C21,(C21+0)))</f>
        <v/>
      </c>
      <c r="J21" s="12" t="str">
        <f>IF($A21="","",COUNTIF($B$14:$B$25,"&lt;"&amp;B21)+COUNTIF($B$14:B21,B21))</f>
        <v/>
      </c>
      <c r="K21" s="12" t="str">
        <f>IF($A21="","",IF((D21+$C$5)&lt;=ROUND(B21*(C21+0)/12,2),"",IF((C21+0)=0,ROUNDUP(B21/(D21+$C$5),0),ROUNDUP(NPER((C21+0)/12,-(D21+$C$5),B21),0))))</f>
        <v/>
      </c>
      <c r="L21" s="7" t="str">
        <f>IF($A21="","",IF(OR(H21="",(C21+0)=0),0,MAX(0,H21-IF((D21+$C$5)&lt;=ROUND(B21*(C21+0)/12,2),"",IF((C21+0)=0,0,ROUND(NPER((C21+0)/12,-(D21+$C$5),B21)*(D21+$C$5)-B21,2))))))</f>
        <v/>
      </c>
    </row>
    <row r="22" spans="1:12" x14ac:dyDescent="0.25">
      <c r="A22" s="10"/>
      <c r="B22" s="4"/>
      <c r="C22" s="11"/>
      <c r="D22" s="4"/>
      <c r="E22" s="7" t="str">
        <f>IF($A22="","",ROUND(B22*(C22+0)/12,2))</f>
        <v/>
      </c>
      <c r="F22" s="6" t="str">
        <f>IF($A22="","",IF($B$26=0,0,B22/$B$26))</f>
        <v/>
      </c>
      <c r="G22" s="12" t="str">
        <f>IF($A22="","",IF(D22&lt;=ROUND(B22*(C22+0)/12,2),"",IF((C22+0)=0,ROUNDUP(B22/D22,0),ROUNDUP(NPER((C22+0)/12,-D22,B22),0))))</f>
        <v/>
      </c>
      <c r="H22" s="7" t="str">
        <f>IF($A22="","",IF(D22&lt;=ROUND(B22*(C22+0)/12,2),"",IF((C22+0)=0,0,ROUND(NPER((C22+0)/12,-D22,B22)*D22-B22,2))))</f>
        <v/>
      </c>
      <c r="I22" s="12" t="str">
        <f>IF($A22="","",COUNTIF($C$14:$C$25,"&gt;"&amp;(C22+0))+COUNTIF($C$14:C22,(C22+0)))</f>
        <v/>
      </c>
      <c r="J22" s="12" t="str">
        <f>IF($A22="","",COUNTIF($B$14:$B$25,"&lt;"&amp;B22)+COUNTIF($B$14:B22,B22))</f>
        <v/>
      </c>
      <c r="K22" s="12" t="str">
        <f>IF($A22="","",IF((D22+$C$5)&lt;=ROUND(B22*(C22+0)/12,2),"",IF((C22+0)=0,ROUNDUP(B22/(D22+$C$5),0),ROUNDUP(NPER((C22+0)/12,-(D22+$C$5),B22),0))))</f>
        <v/>
      </c>
      <c r="L22" s="7" t="str">
        <f>IF($A22="","",IF(OR(H22="",(C22+0)=0),0,MAX(0,H22-IF((D22+$C$5)&lt;=ROUND(B22*(C22+0)/12,2),"",IF((C22+0)=0,0,ROUND(NPER((C22+0)/12,-(D22+$C$5),B22)*(D22+$C$5)-B22,2))))))</f>
        <v/>
      </c>
    </row>
    <row r="23" spans="1:12" x14ac:dyDescent="0.25">
      <c r="A23" s="10"/>
      <c r="B23" s="4"/>
      <c r="C23" s="11"/>
      <c r="D23" s="4"/>
      <c r="E23" s="7" t="str">
        <f>IF($A23="","",ROUND(B23*(C23+0)/12,2))</f>
        <v/>
      </c>
      <c r="F23" s="6" t="str">
        <f>IF($A23="","",IF($B$26=0,0,B23/$B$26))</f>
        <v/>
      </c>
      <c r="G23" s="12" t="str">
        <f>IF($A23="","",IF(D23&lt;=ROUND(B23*(C23+0)/12,2),"",IF((C23+0)=0,ROUNDUP(B23/D23,0),ROUNDUP(NPER((C23+0)/12,-D23,B23),0))))</f>
        <v/>
      </c>
      <c r="H23" s="7" t="str">
        <f>IF($A23="","",IF(D23&lt;=ROUND(B23*(C23+0)/12,2),"",IF((C23+0)=0,0,ROUND(NPER((C23+0)/12,-D23,B23)*D23-B23,2))))</f>
        <v/>
      </c>
      <c r="I23" s="12" t="str">
        <f>IF($A23="","",COUNTIF($C$14:$C$25,"&gt;"&amp;(C23+0))+COUNTIF($C$14:C23,(C23+0)))</f>
        <v/>
      </c>
      <c r="J23" s="12" t="str">
        <f>IF($A23="","",COUNTIF($B$14:$B$25,"&lt;"&amp;B23)+COUNTIF($B$14:B23,B23))</f>
        <v/>
      </c>
      <c r="K23" s="12" t="str">
        <f>IF($A23="","",IF((D23+$C$5)&lt;=ROUND(B23*(C23+0)/12,2),"",IF((C23+0)=0,ROUNDUP(B23/(D23+$C$5),0),ROUNDUP(NPER((C23+0)/12,-(D23+$C$5),B23),0))))</f>
        <v/>
      </c>
      <c r="L23" s="7" t="str">
        <f>IF($A23="","",IF(OR(H23="",(C23+0)=0),0,MAX(0,H23-IF((D23+$C$5)&lt;=ROUND(B23*(C23+0)/12,2),"",IF((C23+0)=0,0,ROUND(NPER((C23+0)/12,-(D23+$C$5),B23)*(D23+$C$5)-B23,2))))))</f>
        <v/>
      </c>
    </row>
    <row r="24" spans="1:12" x14ac:dyDescent="0.25">
      <c r="A24" s="10"/>
      <c r="B24" s="4"/>
      <c r="C24" s="11"/>
      <c r="D24" s="4"/>
      <c r="E24" s="7" t="str">
        <f>IF($A24="","",ROUND(B24*(C24+0)/12,2))</f>
        <v/>
      </c>
      <c r="F24" s="6" t="str">
        <f>IF($A24="","",IF($B$26=0,0,B24/$B$26))</f>
        <v/>
      </c>
      <c r="G24" s="12" t="str">
        <f>IF($A24="","",IF(D24&lt;=ROUND(B24*(C24+0)/12,2),"",IF((C24+0)=0,ROUNDUP(B24/D24,0),ROUNDUP(NPER((C24+0)/12,-D24,B24),0))))</f>
        <v/>
      </c>
      <c r="H24" s="7" t="str">
        <f>IF($A24="","",IF(D24&lt;=ROUND(B24*(C24+0)/12,2),"",IF((C24+0)=0,0,ROUND(NPER((C24+0)/12,-D24,B24)*D24-B24,2))))</f>
        <v/>
      </c>
      <c r="I24" s="12" t="str">
        <f>IF($A24="","",COUNTIF($C$14:$C$25,"&gt;"&amp;(C24+0))+COUNTIF($C$14:C24,(C24+0)))</f>
        <v/>
      </c>
      <c r="J24" s="12" t="str">
        <f>IF($A24="","",COUNTIF($B$14:$B$25,"&lt;"&amp;B24)+COUNTIF($B$14:B24,B24))</f>
        <v/>
      </c>
      <c r="K24" s="12" t="str">
        <f>IF($A24="","",IF((D24+$C$5)&lt;=ROUND(B24*(C24+0)/12,2),"",IF((C24+0)=0,ROUNDUP(B24/(D24+$C$5),0),ROUNDUP(NPER((C24+0)/12,-(D24+$C$5),B24),0))))</f>
        <v/>
      </c>
      <c r="L24" s="7" t="str">
        <f>IF($A24="","",IF(OR(H24="",(C24+0)=0),0,MAX(0,H24-IF((D24+$C$5)&lt;=ROUND(B24*(C24+0)/12,2),"",IF((C24+0)=0,0,ROUND(NPER((C24+0)/12,-(D24+$C$5),B24)*(D24+$C$5)-B24,2))))))</f>
        <v/>
      </c>
    </row>
    <row r="25" spans="1:12" x14ac:dyDescent="0.25">
      <c r="A25" s="10"/>
      <c r="B25" s="4"/>
      <c r="C25" s="11"/>
      <c r="D25" s="4"/>
      <c r="E25" s="7" t="str">
        <f>IF($A25="","",ROUND(B25*(C25+0)/12,2))</f>
        <v/>
      </c>
      <c r="F25" s="6" t="str">
        <f>IF($A25="","",IF($B$26=0,0,B25/$B$26))</f>
        <v/>
      </c>
      <c r="G25" s="12" t="str">
        <f>IF($A25="","",IF(D25&lt;=ROUND(B25*(C25+0)/12,2),"",IF((C25+0)=0,ROUNDUP(B25/D25,0),ROUNDUP(NPER((C25+0)/12,-D25,B25),0))))</f>
        <v/>
      </c>
      <c r="H25" s="7" t="str">
        <f>IF($A25="","",IF(D25&lt;=ROUND(B25*(C25+0)/12,2),"",IF((C25+0)=0,0,ROUND(NPER((C25+0)/12,-D25,B25)*D25-B25,2))))</f>
        <v/>
      </c>
      <c r="I25" s="12" t="str">
        <f>IF($A25="","",COUNTIF($C$14:$C$25,"&gt;"&amp;(C25+0))+COUNTIF($C$14:C25,(C25+0)))</f>
        <v/>
      </c>
      <c r="J25" s="12" t="str">
        <f>IF($A25="","",COUNTIF($B$14:$B$25,"&lt;"&amp;B25)+COUNTIF($B$14:B25,B25))</f>
        <v/>
      </c>
      <c r="K25" s="12" t="str">
        <f>IF($A25="","",IF((D25+$C$5)&lt;=ROUND(B25*(C25+0)/12,2),"",IF((C25+0)=0,ROUNDUP(B25/(D25+$C$5),0),ROUNDUP(NPER((C25+0)/12,-(D25+$C$5),B25),0))))</f>
        <v/>
      </c>
      <c r="L25" s="7" t="str">
        <f>IF($A25="","",IF(OR(H25="",(C25+0)=0),0,MAX(0,H25-IF((D25+$C$5)&lt;=ROUND(B25*(C25+0)/12,2),"",IF((C25+0)=0,0,ROUND(NPER((C25+0)/12,-(D25+$C$5),B25)*(D25+$C$5)-B25,2))))))</f>
        <v/>
      </c>
    </row>
    <row r="26" spans="1:12" x14ac:dyDescent="0.25">
      <c r="A26" s="13" t="s">
        <v>29</v>
      </c>
      <c r="B26" s="5">
        <f>SUM(B14:B25)</f>
        <v>4937000</v>
      </c>
      <c r="C26" s="13"/>
      <c r="D26" s="5">
        <f>SUM(D14:D25)</f>
        <v>93500</v>
      </c>
      <c r="E26" s="5">
        <f>SUM(E14:E25)</f>
        <v>46609.75</v>
      </c>
      <c r="F26" s="13"/>
      <c r="G26" s="13"/>
      <c r="H26" s="13"/>
      <c r="I26" s="13"/>
      <c r="J26" s="13"/>
      <c r="K26" s="13"/>
      <c r="L26" s="13"/>
    </row>
  </sheetData>
  <conditionalFormatting sqref="H8:H9">
    <cfRule type="expression" dxfId="0" priority="1">
      <formula>$H$8&gt;0.5</formula>
    </cfRule>
  </conditionalFormatting>
  <conditionalFormatting sqref="H8:H9">
    <cfRule type="expression" dxfId="1" priority="2">
      <formula>AND($H$8&gt;0.3,$H$8&lt;=0.5)</formula>
    </cfRule>
  </conditionalFormatting>
  <conditionalFormatting sqref="A14:L25">
    <cfRule type="expression" dxfId="2" priority="3">
      <formula>AND($A14&lt;&gt;"",$G14="")</formula>
    </cfRule>
  </conditionalFormatting>
  <conditionalFormatting sqref="I14:I25">
    <cfRule type="expression" dxfId="3" priority="4">
      <formula>I14=1</formula>
    </cfRule>
  </conditionalFormatting>
  <conditionalFormatting sqref="J14:J25">
    <cfRule type="expression" dxfId="4" priority="5">
      <formula>J14=1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Debt register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